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85" windowHeight="8550"/>
  </bookViews>
  <sheets>
    <sheet name="源泉徴収票２５" sheetId="1" r:id="rId1"/>
  </sheets>
  <definedNames>
    <definedName name="_xlnm.Print_Area" localSheetId="0">源泉徴収票２５!$A$3:$AI$49</definedName>
  </definedNames>
  <calcPr calcId="145621"/>
</workbook>
</file>

<file path=xl/calcChain.xml><?xml version="1.0" encoding="utf-8"?>
<calcChain xmlns="http://schemas.openxmlformats.org/spreadsheetml/2006/main">
  <c r="M39" i="1" l="1"/>
  <c r="M37" i="1"/>
  <c r="AN52" i="1"/>
  <c r="AL52" i="1"/>
  <c r="AL51" i="1"/>
  <c r="AP52" i="1"/>
  <c r="AP51" i="1"/>
  <c r="AL81" i="1"/>
  <c r="AN81" i="1" s="1"/>
  <c r="AR84" i="1"/>
  <c r="AT84" i="1" s="1"/>
  <c r="AO84" i="1"/>
  <c r="AP84" i="1" s="1"/>
  <c r="AL84" i="1"/>
  <c r="AN84" i="1" s="1"/>
  <c r="AS84" i="1"/>
  <c r="AO78" i="1"/>
  <c r="AP78" i="1" s="1"/>
  <c r="AL78" i="1"/>
  <c r="AN78" i="1" s="1"/>
  <c r="AR52" i="1"/>
  <c r="AR51" i="1"/>
  <c r="AQ52" i="1"/>
  <c r="AQ51" i="1"/>
  <c r="AM52" i="1"/>
  <c r="K17" i="1"/>
  <c r="AM51" i="1" s="1"/>
  <c r="AO52" i="1"/>
  <c r="AO51" i="1"/>
  <c r="AN51" i="1"/>
  <c r="R11" i="1"/>
  <c r="AM48" i="1"/>
  <c r="AM47" i="1"/>
  <c r="AM46" i="1"/>
  <c r="AM45" i="1"/>
  <c r="AM44" i="1"/>
  <c r="AM43" i="1"/>
  <c r="AM38" i="1"/>
  <c r="AM81" i="1" l="1"/>
  <c r="AQ84" i="1"/>
  <c r="AM84" i="1"/>
  <c r="AS52" i="1"/>
  <c r="AS51" i="1"/>
  <c r="AM78" i="1"/>
  <c r="AQ78" i="1" s="1"/>
  <c r="AO81" i="1" l="1"/>
  <c r="AP81" i="1" s="1"/>
  <c r="AP56" i="1" s="1"/>
  <c r="AQ56" i="1" s="1"/>
  <c r="AA17" i="1"/>
  <c r="X11" i="1" s="1"/>
  <c r="AS53" i="1"/>
  <c r="AN56" i="1" l="1"/>
  <c r="AO56" i="1" s="1"/>
  <c r="S43" i="1" s="1"/>
  <c r="AS56" i="1"/>
  <c r="M47" i="1" s="1"/>
  <c r="AR56" i="1"/>
  <c r="AP59" i="1"/>
  <c r="AL56" i="1"/>
  <c r="S47" i="1" l="1"/>
  <c r="Z47" i="1" s="1"/>
  <c r="M45" i="1"/>
  <c r="S45" i="1"/>
  <c r="AM56" i="1"/>
  <c r="AD11" i="1" s="1"/>
  <c r="M43" i="1" s="1"/>
  <c r="Z43" i="1" s="1"/>
  <c r="Z45" i="1" l="1"/>
  <c r="Z49" i="1" s="1"/>
</calcChain>
</file>

<file path=xl/sharedStrings.xml><?xml version="1.0" encoding="utf-8"?>
<sst xmlns="http://schemas.openxmlformats.org/spreadsheetml/2006/main" count="157" uniqueCount="125">
  <si>
    <t>有</t>
    <rPh sb="0" eb="1">
      <t>アリ</t>
    </rPh>
    <phoneticPr fontId="2"/>
  </si>
  <si>
    <t>無</t>
    <rPh sb="0" eb="1">
      <t>ナ</t>
    </rPh>
    <phoneticPr fontId="2"/>
  </si>
  <si>
    <t>従有</t>
    <rPh sb="0" eb="1">
      <t>ジュウ</t>
    </rPh>
    <rPh sb="1" eb="2">
      <t>アリ</t>
    </rPh>
    <phoneticPr fontId="2"/>
  </si>
  <si>
    <t>従無</t>
    <rPh sb="0" eb="1">
      <t>ジュウ</t>
    </rPh>
    <rPh sb="1" eb="2">
      <t>ナシ</t>
    </rPh>
    <phoneticPr fontId="2"/>
  </si>
  <si>
    <t>老人</t>
    <rPh sb="0" eb="2">
      <t>ロウジン</t>
    </rPh>
    <phoneticPr fontId="2"/>
  </si>
  <si>
    <t>控除対象配偶</t>
    <rPh sb="0" eb="2">
      <t>コウジョ</t>
    </rPh>
    <rPh sb="2" eb="4">
      <t>タイショウ</t>
    </rPh>
    <rPh sb="4" eb="6">
      <t>ハイグウ</t>
    </rPh>
    <phoneticPr fontId="2"/>
  </si>
  <si>
    <t>者の有無等</t>
    <rPh sb="0" eb="1">
      <t>シャ</t>
    </rPh>
    <rPh sb="2" eb="4">
      <t>ウム</t>
    </rPh>
    <rPh sb="4" eb="5">
      <t>ナド</t>
    </rPh>
    <phoneticPr fontId="2"/>
  </si>
  <si>
    <t>未成年者</t>
    <rPh sb="0" eb="4">
      <t>ミセイネンシャ</t>
    </rPh>
    <phoneticPr fontId="2"/>
  </si>
  <si>
    <t>特別</t>
    <rPh sb="0" eb="2">
      <t>トクベツ</t>
    </rPh>
    <phoneticPr fontId="2"/>
  </si>
  <si>
    <t>その他</t>
    <rPh sb="2" eb="3">
      <t>タ</t>
    </rPh>
    <phoneticPr fontId="2"/>
  </si>
  <si>
    <t>寡婦</t>
    <rPh sb="0" eb="2">
      <t>カフ</t>
    </rPh>
    <phoneticPr fontId="2"/>
  </si>
  <si>
    <t>一般</t>
    <rPh sb="0" eb="2">
      <t>イッパン</t>
    </rPh>
    <phoneticPr fontId="2"/>
  </si>
  <si>
    <t>寡夫</t>
    <rPh sb="0" eb="2">
      <t>カフ</t>
    </rPh>
    <phoneticPr fontId="2"/>
  </si>
  <si>
    <t>勤労学生</t>
    <rPh sb="0" eb="2">
      <t>キンロウ</t>
    </rPh>
    <rPh sb="2" eb="4">
      <t>ガクセイ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</si>
  <si>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</si>
  <si>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</si>
  <si>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</si>
  <si>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</si>
  <si>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</si>
  <si>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明</t>
    <rPh sb="0" eb="1">
      <t>メイ</t>
    </rPh>
    <phoneticPr fontId="2"/>
  </si>
  <si>
    <t>大</t>
    <rPh sb="0" eb="1">
      <t>ダイ</t>
    </rPh>
    <phoneticPr fontId="2"/>
  </si>
  <si>
    <t>昭</t>
    <rPh sb="0" eb="1">
      <t>アキラ</t>
    </rPh>
    <phoneticPr fontId="2"/>
  </si>
  <si>
    <t>平</t>
    <rPh sb="0" eb="1">
      <t>ヒラ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</si>
  <si>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</si>
  <si>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</si>
  <si>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外国人</t>
    <rPh sb="0" eb="2">
      <t>ガイコク</t>
    </rPh>
    <rPh sb="2" eb="3">
      <t>ジン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</si>
  <si>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</si>
  <si>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5">
      <t>セイネン</t>
    </rPh>
    <rPh sb="5" eb="7">
      <t>ガッピ</t>
    </rPh>
    <phoneticPr fontId="2"/>
  </si>
  <si>
    <t>人</t>
    <rPh sb="0" eb="1">
      <t>ニン</t>
    </rPh>
    <phoneticPr fontId="2"/>
  </si>
  <si>
    <t>従人</t>
    <rPh sb="0" eb="1">
      <t>ジュウ</t>
    </rPh>
    <rPh sb="1" eb="2">
      <t>ニン</t>
    </rPh>
    <phoneticPr fontId="2"/>
  </si>
  <si>
    <t>内</t>
    <rPh sb="0" eb="1">
      <t>ウチ</t>
    </rPh>
    <phoneticPr fontId="2"/>
  </si>
  <si>
    <t>人</t>
    <rPh sb="0" eb="1">
      <t>ヒト</t>
    </rPh>
    <phoneticPr fontId="2"/>
  </si>
  <si>
    <t>特定</t>
    <rPh sb="0" eb="2">
      <t>トクテイ</t>
    </rPh>
    <phoneticPr fontId="2"/>
  </si>
  <si>
    <t>障害者の数</t>
    <rPh sb="0" eb="3">
      <t>ショウガイシャ</t>
    </rPh>
    <rPh sb="4" eb="5">
      <t>カズ</t>
    </rPh>
    <phoneticPr fontId="2"/>
  </si>
  <si>
    <t>等の金額</t>
    <phoneticPr fontId="2"/>
  </si>
  <si>
    <t>社会保険料</t>
    <rPh sb="0" eb="2">
      <t>シャカイ</t>
    </rPh>
    <rPh sb="2" eb="5">
      <t>ホケンリョウ</t>
    </rPh>
    <phoneticPr fontId="2"/>
  </si>
  <si>
    <t>生命保険料</t>
    <rPh sb="0" eb="2">
      <t>セイメイ</t>
    </rPh>
    <rPh sb="2" eb="5">
      <t>ホケンリョウ</t>
    </rPh>
    <phoneticPr fontId="2"/>
  </si>
  <si>
    <t>の控除額</t>
    <phoneticPr fontId="2"/>
  </si>
  <si>
    <t>地震保険料</t>
    <rPh sb="0" eb="2">
      <t>ジシン</t>
    </rPh>
    <rPh sb="2" eb="4">
      <t>ホケン</t>
    </rPh>
    <rPh sb="4" eb="5">
      <t>リョウ</t>
    </rPh>
    <phoneticPr fontId="2"/>
  </si>
  <si>
    <t>住宅借入金等</t>
    <rPh sb="0" eb="2">
      <t>ジュウタク</t>
    </rPh>
    <rPh sb="2" eb="3">
      <t>シャク</t>
    </rPh>
    <rPh sb="3" eb="5">
      <t>ニュウキン</t>
    </rPh>
    <rPh sb="5" eb="6">
      <t>ナド</t>
    </rPh>
    <phoneticPr fontId="2"/>
  </si>
  <si>
    <t>特別控除の額</t>
    <phoneticPr fontId="2"/>
  </si>
  <si>
    <t>円</t>
    <rPh sb="0" eb="1">
      <t>エン</t>
    </rPh>
    <phoneticPr fontId="2"/>
  </si>
  <si>
    <t>種　　　　別</t>
    <rPh sb="0" eb="1">
      <t>タネ</t>
    </rPh>
    <rPh sb="5" eb="6">
      <t>ベツ</t>
    </rPh>
    <phoneticPr fontId="2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</si>
  <si>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2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</si>
  <si>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</si>
  <si>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</si>
  <si>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源泉徴収税額</t>
    <rPh sb="0" eb="2">
      <t>ゲンセン</t>
    </rPh>
    <rPh sb="2" eb="4">
      <t>チョウシュウ</t>
    </rPh>
    <rPh sb="4" eb="6">
      <t>ゼイガク</t>
    </rPh>
    <phoneticPr fontId="2"/>
  </si>
  <si>
    <t>支払者</t>
    <rPh sb="0" eb="2">
      <t>シハライ</t>
    </rPh>
    <rPh sb="2" eb="3">
      <t>シャ</t>
    </rPh>
    <phoneticPr fontId="2"/>
  </si>
  <si>
    <t>住所（居所）</t>
    <rPh sb="0" eb="2">
      <t>ジュウショ</t>
    </rPh>
    <rPh sb="3" eb="5">
      <t>キョショ</t>
    </rPh>
    <phoneticPr fontId="2"/>
  </si>
  <si>
    <t>又は所在地</t>
    <rPh sb="0" eb="1">
      <t>マタ</t>
    </rPh>
    <rPh sb="2" eb="5">
      <t>ショザイチ</t>
    </rPh>
    <phoneticPr fontId="2"/>
  </si>
  <si>
    <t>氏名又は</t>
    <rPh sb="0" eb="2">
      <t>シメイ</t>
    </rPh>
    <rPh sb="2" eb="3">
      <t>マタ</t>
    </rPh>
    <phoneticPr fontId="2"/>
  </si>
  <si>
    <t>名　　称</t>
    <rPh sb="0" eb="1">
      <t>ナ</t>
    </rPh>
    <rPh sb="3" eb="4">
      <t>ショウ</t>
    </rPh>
    <phoneticPr fontId="2"/>
  </si>
  <si>
    <t>旧長期損害保険料の金額</t>
    <rPh sb="0" eb="1">
      <t>キュウ</t>
    </rPh>
    <rPh sb="1" eb="3">
      <t>チョウキ</t>
    </rPh>
    <rPh sb="3" eb="5">
      <t>ソンガイ</t>
    </rPh>
    <rPh sb="5" eb="8">
      <t>ホケンリョウ</t>
    </rPh>
    <rPh sb="9" eb="11">
      <t>キンガク</t>
    </rPh>
    <phoneticPr fontId="2"/>
  </si>
  <si>
    <t>支　払
を受け
る　者</t>
    <rPh sb="0" eb="1">
      <t>ササ</t>
    </rPh>
    <rPh sb="2" eb="3">
      <t>バライ</t>
    </rPh>
    <rPh sb="5" eb="6">
      <t>ウ</t>
    </rPh>
    <rPh sb="10" eb="11">
      <t>シャ</t>
    </rPh>
    <phoneticPr fontId="2"/>
  </si>
  <si>
    <t>住所</t>
    <rPh sb="0" eb="2">
      <t>ジュウショ</t>
    </rPh>
    <phoneticPr fontId="2"/>
  </si>
  <si>
    <t>区分</t>
    <rPh sb="0" eb="2">
      <t>クブン</t>
    </rPh>
    <phoneticPr fontId="2"/>
  </si>
  <si>
    <t>氏　名</t>
    <rPh sb="0" eb="1">
      <t>シ</t>
    </rPh>
    <rPh sb="2" eb="3">
      <t>メイ</t>
    </rPh>
    <phoneticPr fontId="2"/>
  </si>
  <si>
    <t>（受給者番号）</t>
    <rPh sb="1" eb="4">
      <t>ジュキュウシャ</t>
    </rPh>
    <rPh sb="4" eb="6">
      <t>バンゴウ</t>
    </rPh>
    <phoneticPr fontId="2"/>
  </si>
  <si>
    <t>（役職名）</t>
    <rPh sb="1" eb="4">
      <t>ヤクショクメイ</t>
    </rPh>
    <phoneticPr fontId="2"/>
  </si>
  <si>
    <t>（フリガナ）</t>
    <phoneticPr fontId="2"/>
  </si>
  <si>
    <t>種別</t>
    <rPh sb="0" eb="2">
      <t>シュベツ</t>
    </rPh>
    <phoneticPr fontId="2"/>
  </si>
  <si>
    <t>整理番号</t>
    <rPh sb="0" eb="2">
      <t>セイリ</t>
    </rPh>
    <rPh sb="2" eb="4">
      <t>バンゴウ</t>
    </rPh>
    <phoneticPr fontId="2"/>
  </si>
  <si>
    <t>給与</t>
    <rPh sb="0" eb="2">
      <t>キュウヨ</t>
    </rPh>
    <phoneticPr fontId="2"/>
  </si>
  <si>
    <t>配偶者特別</t>
    <phoneticPr fontId="2"/>
  </si>
  <si>
    <t>控除の額</t>
    <phoneticPr fontId="2"/>
  </si>
  <si>
    <t>歳未満</t>
    <rPh sb="0" eb="1">
      <t>サイ</t>
    </rPh>
    <rPh sb="1" eb="3">
      <t>ミマン</t>
    </rPh>
    <phoneticPr fontId="2"/>
  </si>
  <si>
    <t>扶養親族</t>
    <rPh sb="0" eb="2">
      <t>フヨウ</t>
    </rPh>
    <rPh sb="2" eb="4">
      <t>シンゾク</t>
    </rPh>
    <phoneticPr fontId="2"/>
  </si>
  <si>
    <t>乙欄</t>
    <rPh sb="0" eb="1">
      <t>オツ</t>
    </rPh>
    <rPh sb="1" eb="2">
      <t>ラン</t>
    </rPh>
    <phoneticPr fontId="2"/>
  </si>
  <si>
    <t>（適用）</t>
    <rPh sb="1" eb="3">
      <t>テキヨウ</t>
    </rPh>
    <phoneticPr fontId="2"/>
  </si>
  <si>
    <t>本人障害者</t>
    <rPh sb="0" eb="2">
      <t>ホンニン</t>
    </rPh>
    <rPh sb="2" eb="4">
      <t>ショウガイ</t>
    </rPh>
    <rPh sb="4" eb="5">
      <t>シャ</t>
    </rPh>
    <phoneticPr fontId="2"/>
  </si>
  <si>
    <t>控除対象扶養親族の数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phoneticPr fontId="2"/>
  </si>
  <si>
    <t>（配偶者を除く。）</t>
    <rPh sb="1" eb="4">
      <t>ハイグウシャ</t>
    </rPh>
    <rPh sb="5" eb="6">
      <t>ノゾ</t>
    </rPh>
    <phoneticPr fontId="2"/>
  </si>
  <si>
    <t>(本人を除く)</t>
    <rPh sb="1" eb="3">
      <t>ホンニン</t>
    </rPh>
    <rPh sb="4" eb="5">
      <t>ノゾ</t>
    </rPh>
    <phoneticPr fontId="2"/>
  </si>
  <si>
    <t>配偶者の合計所得額　</t>
    <rPh sb="0" eb="3">
      <t>ハイグウシャ</t>
    </rPh>
    <rPh sb="4" eb="6">
      <t>ゴウケイ</t>
    </rPh>
    <rPh sb="6" eb="9">
      <t>ショトクガク</t>
    </rPh>
    <phoneticPr fontId="2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</si>
  <si>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2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</si>
  <si>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</si>
  <si>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新個人年金保険料の金額</t>
    <rPh sb="0" eb="1">
      <t>シン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2"/>
  </si>
  <si>
    <t>介護医療保険料の金額</t>
    <phoneticPr fontId="2"/>
  </si>
  <si>
    <t>旧個人年金保険料の金額</t>
    <rPh sb="0" eb="1">
      <t>キュウ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2"/>
  </si>
  <si>
    <t>源泉徴収票</t>
    <rPh sb="0" eb="2">
      <t>ゲンセン</t>
    </rPh>
    <rPh sb="2" eb="4">
      <t>チョウシュウ</t>
    </rPh>
    <rPh sb="4" eb="5">
      <t>ヒョウ</t>
    </rPh>
    <phoneticPr fontId="2"/>
  </si>
  <si>
    <t>ふるさと寄附金</t>
    <rPh sb="4" eb="7">
      <t>キフキン</t>
    </rPh>
    <phoneticPr fontId="2"/>
  </si>
  <si>
    <t>所得税控除対象額</t>
    <rPh sb="0" eb="3">
      <t>ショトクゼイ</t>
    </rPh>
    <rPh sb="3" eb="5">
      <t>コウジョ</t>
    </rPh>
    <rPh sb="5" eb="7">
      <t>タイショウ</t>
    </rPh>
    <rPh sb="7" eb="8">
      <t>ガク</t>
    </rPh>
    <phoneticPr fontId="2"/>
  </si>
  <si>
    <t>住民税控除対象額</t>
    <rPh sb="0" eb="3">
      <t>ジュウミンゼイ</t>
    </rPh>
    <rPh sb="3" eb="5">
      <t>コウジョ</t>
    </rPh>
    <rPh sb="5" eb="7">
      <t>タイショウ</t>
    </rPh>
    <rPh sb="7" eb="8">
      <t>ガク</t>
    </rPh>
    <phoneticPr fontId="2"/>
  </si>
  <si>
    <t>支払金額</t>
    <rPh sb="0" eb="2">
      <t>シハライ</t>
    </rPh>
    <rPh sb="2" eb="4">
      <t>キンガク</t>
    </rPh>
    <phoneticPr fontId="2"/>
  </si>
  <si>
    <t>所得額</t>
    <rPh sb="0" eb="3">
      <t>ショトクガク</t>
    </rPh>
    <phoneticPr fontId="2"/>
  </si>
  <si>
    <t>人的控除計</t>
    <rPh sb="0" eb="2">
      <t>ジンテキ</t>
    </rPh>
    <rPh sb="2" eb="4">
      <t>コウジョ</t>
    </rPh>
    <rPh sb="4" eb="5">
      <t>ケイ</t>
    </rPh>
    <phoneticPr fontId="2"/>
  </si>
  <si>
    <t>控配</t>
    <rPh sb="0" eb="1">
      <t>ヒカエ</t>
    </rPh>
    <rPh sb="1" eb="2">
      <t>クバ</t>
    </rPh>
    <phoneticPr fontId="2"/>
  </si>
  <si>
    <t>配特</t>
    <rPh sb="0" eb="1">
      <t>クバ</t>
    </rPh>
    <rPh sb="1" eb="2">
      <t>トク</t>
    </rPh>
    <phoneticPr fontId="2"/>
  </si>
  <si>
    <t>障害者</t>
    <rPh sb="0" eb="3">
      <t>ショウガイシャ</t>
    </rPh>
    <phoneticPr fontId="2"/>
  </si>
  <si>
    <t>本人</t>
    <rPh sb="0" eb="2">
      <t>ホンニン</t>
    </rPh>
    <phoneticPr fontId="2"/>
  </si>
  <si>
    <t>人的控除差</t>
    <rPh sb="0" eb="2">
      <t>ジンテキ</t>
    </rPh>
    <rPh sb="2" eb="4">
      <t>コウジョ</t>
    </rPh>
    <rPh sb="4" eb="5">
      <t>サ</t>
    </rPh>
    <phoneticPr fontId="2"/>
  </si>
  <si>
    <t>課標</t>
    <rPh sb="0" eb="1">
      <t>カ</t>
    </rPh>
    <rPh sb="1" eb="2">
      <t>ヒョウ</t>
    </rPh>
    <phoneticPr fontId="2"/>
  </si>
  <si>
    <t>算出税額</t>
    <rPh sb="0" eb="2">
      <t>サンシュツ</t>
    </rPh>
    <rPh sb="2" eb="4">
      <t>ゼイガク</t>
    </rPh>
    <phoneticPr fontId="2"/>
  </si>
  <si>
    <t>課標(あり)</t>
    <rPh sb="0" eb="1">
      <t>カ</t>
    </rPh>
    <rPh sb="1" eb="2">
      <t>ヒョウ</t>
    </rPh>
    <phoneticPr fontId="2"/>
  </si>
  <si>
    <t>算出税額(〃)</t>
    <rPh sb="0" eb="2">
      <t>サンシュツ</t>
    </rPh>
    <rPh sb="2" eb="4">
      <t>ゼイガク</t>
    </rPh>
    <phoneticPr fontId="2"/>
  </si>
  <si>
    <t>住控除</t>
    <rPh sb="0" eb="1">
      <t>ジュウ</t>
    </rPh>
    <rPh sb="1" eb="3">
      <t>コウジョ</t>
    </rPh>
    <phoneticPr fontId="2"/>
  </si>
  <si>
    <t>住課標</t>
    <rPh sb="0" eb="1">
      <t>ジュウ</t>
    </rPh>
    <rPh sb="1" eb="2">
      <t>カ</t>
    </rPh>
    <rPh sb="2" eb="3">
      <t>ヒョウ</t>
    </rPh>
    <phoneticPr fontId="2"/>
  </si>
  <si>
    <t>市所得割</t>
    <rPh sb="0" eb="1">
      <t>シ</t>
    </rPh>
    <rPh sb="1" eb="3">
      <t>ショトク</t>
    </rPh>
    <rPh sb="3" eb="4">
      <t>ワリ</t>
    </rPh>
    <phoneticPr fontId="2"/>
  </si>
  <si>
    <t>県所得割</t>
    <rPh sb="0" eb="1">
      <t>ケン</t>
    </rPh>
    <rPh sb="1" eb="3">
      <t>ショトク</t>
    </rPh>
    <rPh sb="3" eb="4">
      <t>ワリ</t>
    </rPh>
    <phoneticPr fontId="2"/>
  </si>
  <si>
    <t>限界税率</t>
    <rPh sb="0" eb="2">
      <t>ゲンカイ</t>
    </rPh>
    <rPh sb="2" eb="4">
      <t>ゼイリツ</t>
    </rPh>
    <phoneticPr fontId="2"/>
  </si>
  <si>
    <t>配偶者所得</t>
    <rPh sb="0" eb="3">
      <t>ハイグウシャ</t>
    </rPh>
    <rPh sb="3" eb="5">
      <t>ショトク</t>
    </rPh>
    <phoneticPr fontId="2"/>
  </si>
  <si>
    <t>個人年金</t>
    <rPh sb="0" eb="2">
      <t>コジン</t>
    </rPh>
    <rPh sb="2" eb="3">
      <t>ネン</t>
    </rPh>
    <rPh sb="3" eb="4">
      <t>キン</t>
    </rPh>
    <phoneticPr fontId="2"/>
  </si>
  <si>
    <t>個人年金分</t>
    <rPh sb="0" eb="2">
      <t>コジン</t>
    </rPh>
    <rPh sb="2" eb="4">
      <t>ネンキン</t>
    </rPh>
    <rPh sb="4" eb="5">
      <t>ブン</t>
    </rPh>
    <phoneticPr fontId="2"/>
  </si>
  <si>
    <t>住個人年金</t>
    <rPh sb="0" eb="1">
      <t>ジュウ</t>
    </rPh>
    <rPh sb="1" eb="3">
      <t>コジン</t>
    </rPh>
    <rPh sb="3" eb="5">
      <t>ネンキン</t>
    </rPh>
    <phoneticPr fontId="2"/>
  </si>
  <si>
    <t>生命保険料</t>
    <rPh sb="0" eb="2">
      <t>セイメイ</t>
    </rPh>
    <rPh sb="2" eb="4">
      <t>ホケン</t>
    </rPh>
    <rPh sb="4" eb="5">
      <t>リョウ</t>
    </rPh>
    <phoneticPr fontId="2"/>
  </si>
  <si>
    <t>生保控除</t>
    <rPh sb="0" eb="2">
      <t>セイホ</t>
    </rPh>
    <rPh sb="2" eb="4">
      <t>コウジョ</t>
    </rPh>
    <phoneticPr fontId="2"/>
  </si>
  <si>
    <t>住生保控除</t>
    <rPh sb="0" eb="1">
      <t>ジュウ</t>
    </rPh>
    <rPh sb="1" eb="3">
      <t>セイホ</t>
    </rPh>
    <rPh sb="3" eb="5">
      <t>コウジョ</t>
    </rPh>
    <phoneticPr fontId="2"/>
  </si>
  <si>
    <t>長期損保料</t>
    <rPh sb="0" eb="2">
      <t>チョウキ</t>
    </rPh>
    <rPh sb="2" eb="4">
      <t>ソンポ</t>
    </rPh>
    <rPh sb="4" eb="5">
      <t>リョウ</t>
    </rPh>
    <phoneticPr fontId="2"/>
  </si>
  <si>
    <t>長期損保分</t>
    <rPh sb="0" eb="2">
      <t>チョウキ</t>
    </rPh>
    <rPh sb="2" eb="4">
      <t>ソンポ</t>
    </rPh>
    <rPh sb="4" eb="5">
      <t>ブン</t>
    </rPh>
    <phoneticPr fontId="2"/>
  </si>
  <si>
    <t>住長期損保</t>
    <rPh sb="0" eb="1">
      <t>ジュウ</t>
    </rPh>
    <rPh sb="1" eb="3">
      <t>チョウキ</t>
    </rPh>
    <rPh sb="3" eb="5">
      <t>ソンポ</t>
    </rPh>
    <phoneticPr fontId="2"/>
  </si>
  <si>
    <t>地震保険分</t>
    <rPh sb="0" eb="2">
      <t>ジシン</t>
    </rPh>
    <rPh sb="2" eb="4">
      <t>ホケン</t>
    </rPh>
    <rPh sb="4" eb="5">
      <t>ブン</t>
    </rPh>
    <phoneticPr fontId="2"/>
  </si>
  <si>
    <t>住地震保険</t>
    <rPh sb="0" eb="1">
      <t>ジュウ</t>
    </rPh>
    <rPh sb="1" eb="3">
      <t>ジシン</t>
    </rPh>
    <rPh sb="3" eb="5">
      <t>ホケン</t>
    </rPh>
    <phoneticPr fontId="2"/>
  </si>
  <si>
    <t>新個人年金</t>
    <rPh sb="0" eb="1">
      <t>シン</t>
    </rPh>
    <rPh sb="1" eb="3">
      <t>コジン</t>
    </rPh>
    <rPh sb="3" eb="4">
      <t>ネン</t>
    </rPh>
    <rPh sb="4" eb="5">
      <t>キン</t>
    </rPh>
    <phoneticPr fontId="2"/>
  </si>
  <si>
    <t>新生命保険料</t>
    <rPh sb="0" eb="1">
      <t>シン</t>
    </rPh>
    <rPh sb="1" eb="3">
      <t>セイメイ</t>
    </rPh>
    <rPh sb="3" eb="5">
      <t>ホケン</t>
    </rPh>
    <rPh sb="5" eb="6">
      <t>リョウ</t>
    </rPh>
    <phoneticPr fontId="2"/>
  </si>
  <si>
    <t>介護・医療</t>
    <rPh sb="0" eb="2">
      <t>カイゴ</t>
    </rPh>
    <rPh sb="3" eb="5">
      <t>イリョウ</t>
    </rPh>
    <phoneticPr fontId="2"/>
  </si>
  <si>
    <t>住介護・医療</t>
    <rPh sb="0" eb="1">
      <t>ジュウ</t>
    </rPh>
    <rPh sb="1" eb="3">
      <t>カイゴ</t>
    </rPh>
    <rPh sb="4" eb="6">
      <t>イリョウ</t>
    </rPh>
    <phoneticPr fontId="2"/>
  </si>
  <si>
    <t>寄付金考慮前の税額</t>
    <rPh sb="0" eb="3">
      <t>キフキン</t>
    </rPh>
    <rPh sb="3" eb="5">
      <t>コウリョ</t>
    </rPh>
    <rPh sb="5" eb="6">
      <t>マエ</t>
    </rPh>
    <rPh sb="7" eb="9">
      <t>ゼイガク</t>
    </rPh>
    <phoneticPr fontId="2"/>
  </si>
  <si>
    <t>寄付金考慮後の税額</t>
    <rPh sb="0" eb="3">
      <t>キフキン</t>
    </rPh>
    <rPh sb="3" eb="5">
      <t>コウリョ</t>
    </rPh>
    <rPh sb="5" eb="6">
      <t>ゴ</t>
    </rPh>
    <rPh sb="7" eb="9">
      <t>ゼイガク</t>
    </rPh>
    <phoneticPr fontId="2"/>
  </si>
  <si>
    <t>減額される額</t>
    <rPh sb="0" eb="2">
      <t>ゲンガク</t>
    </rPh>
    <rPh sb="5" eb="6">
      <t>ガク</t>
    </rPh>
    <phoneticPr fontId="2"/>
  </si>
  <si>
    <t>計</t>
    <rPh sb="0" eb="1">
      <t>ケイ</t>
    </rPh>
    <phoneticPr fontId="2"/>
  </si>
  <si>
    <t>所得税額</t>
    <rPh sb="0" eb="3">
      <t>ショトクゼイ</t>
    </rPh>
    <rPh sb="3" eb="4">
      <t>ガク</t>
    </rPh>
    <phoneticPr fontId="3"/>
  </si>
  <si>
    <t>市町村民税所得割額</t>
    <rPh sb="0" eb="3">
      <t>シチョウソン</t>
    </rPh>
    <rPh sb="3" eb="4">
      <t>ミン</t>
    </rPh>
    <rPh sb="4" eb="5">
      <t>ゼイ</t>
    </rPh>
    <rPh sb="5" eb="7">
      <t>ショトク</t>
    </rPh>
    <rPh sb="7" eb="8">
      <t>ワリ</t>
    </rPh>
    <rPh sb="8" eb="9">
      <t>ガク</t>
    </rPh>
    <phoneticPr fontId="3"/>
  </si>
  <si>
    <t>都道府県民税所得割額</t>
    <rPh sb="0" eb="4">
      <t>トドウフケン</t>
    </rPh>
    <rPh sb="4" eb="5">
      <t>ミン</t>
    </rPh>
    <rPh sb="5" eb="6">
      <t>ゼイ</t>
    </rPh>
    <rPh sb="6" eb="8">
      <t>ショトク</t>
    </rPh>
    <rPh sb="8" eb="9">
      <t>ワリ</t>
    </rPh>
    <rPh sb="9" eb="10">
      <t>ガク</t>
    </rPh>
    <phoneticPr fontId="3"/>
  </si>
  <si>
    <t>寄付する金額を黄色のセルに入力してください。</t>
    <rPh sb="0" eb="2">
      <t>キフ</t>
    </rPh>
    <rPh sb="4" eb="6">
      <t>キンガク</t>
    </rPh>
    <rPh sb="7" eb="9">
      <t>キイロ</t>
    </rPh>
    <rPh sb="13" eb="15">
      <t>ニュウリョク</t>
    </rPh>
    <phoneticPr fontId="2"/>
  </si>
  <si>
    <t>黄色のセルに金額、人数、チェックマークを入力してください。</t>
    <rPh sb="0" eb="2">
      <t>キイロ</t>
    </rPh>
    <rPh sb="6" eb="8">
      <t>キンガク</t>
    </rPh>
    <rPh sb="9" eb="11">
      <t>ニンズウ</t>
    </rPh>
    <rPh sb="20" eb="2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</si>
</sst>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"/>
    <numFmt numFmtId="177" formatCode="&quot;(&quot;#,###&quot;)&quot;"/>
    <numFmt numFmtId="178" formatCode="#,###&quot;円&quot;"/>
    <numFmt numFmtId="179" formatCode="#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top"/>
    </xf>
    <xf numFmtId="0" fontId="3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  <xf numFmtId="0" fontId="3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top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79" fontId="3" fillId="0" borderId="0" xfId="0" applyNumberFormat="1" applyFont="1" applyAlignment="1" applyProtection="1">
      <alignment horizontal="right" vertical="center"/>
    </xf>
    <xf numFmtId="0" fontId="0" fillId="0" borderId="0" xfId="0" applyProtection="1">
      <alignment vertical="center"/>
    </xf>
    <xf numFmtId="3" fontId="3" fillId="0" borderId="0" xfId="0" applyNumberFormat="1" applyFont="1" applyProtection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38" fontId="3" fillId="0" borderId="0" xfId="0" applyNumberFormat="1" applyFont="1" applyProtection="1">
      <alignment vertical="center"/>
      <protection hidden="1"/>
    </xf>
    <xf numFmtId="38" fontId="0" fillId="0" borderId="0" xfId="0" applyNumberForma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2" borderId="60" xfId="1" applyNumberFormat="1" applyFont="1" applyFill="1" applyBorder="1" applyAlignment="1" applyProtection="1">
      <alignment horizontal="center" vertical="center"/>
      <protection locked="0"/>
    </xf>
    <xf numFmtId="176" fontId="10" fillId="2" borderId="61" xfId="1" applyNumberFormat="1" applyFont="1" applyFill="1" applyBorder="1" applyAlignment="1" applyProtection="1">
      <alignment horizontal="center" vertical="center"/>
      <protection locked="0"/>
    </xf>
    <xf numFmtId="176" fontId="10" fillId="2" borderId="62" xfId="1" applyNumberFormat="1" applyFont="1" applyFill="1" applyBorder="1" applyAlignment="1" applyProtection="1">
      <alignment horizontal="center" vertical="center"/>
      <protection locked="0"/>
    </xf>
    <xf numFmtId="176" fontId="3" fillId="0" borderId="63" xfId="0" applyNumberFormat="1" applyFont="1" applyBorder="1" applyAlignment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 textRotation="255" wrapText="1" shrinkToFit="1"/>
    </xf>
    <xf numFmtId="0" fontId="4" fillId="0" borderId="1" xfId="0" applyFont="1" applyBorder="1" applyAlignment="1">
      <alignment horizontal="right" vertical="center" textRotation="255" wrapText="1" shrinkToFit="1"/>
    </xf>
    <xf numFmtId="0" fontId="5" fillId="2" borderId="30" xfId="0" applyFont="1" applyFill="1" applyBorder="1" applyAlignment="1" applyProtection="1">
      <alignment horizontal="center" vertical="center" textRotation="255"/>
      <protection locked="0"/>
    </xf>
    <xf numFmtId="0" fontId="5" fillId="2" borderId="22" xfId="0" applyFont="1" applyFill="1" applyBorder="1" applyAlignment="1" applyProtection="1">
      <alignment horizontal="center" vertical="center" textRotation="255"/>
      <protection locked="0"/>
    </xf>
    <xf numFmtId="0" fontId="5" fillId="2" borderId="7" xfId="0" applyFont="1" applyFill="1" applyBorder="1" applyAlignment="1" applyProtection="1">
      <alignment horizontal="center" vertical="center" textRotation="255"/>
      <protection locked="0"/>
    </xf>
    <xf numFmtId="0" fontId="5" fillId="2" borderId="31" xfId="0" applyFont="1" applyFill="1" applyBorder="1" applyAlignment="1" applyProtection="1">
      <alignment horizontal="center" vertical="center" textRotation="255"/>
      <protection locked="0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textRotation="255"/>
      <protection locked="0"/>
    </xf>
    <xf numFmtId="0" fontId="3" fillId="2" borderId="31" xfId="0" applyFont="1" applyFill="1" applyBorder="1" applyAlignment="1" applyProtection="1">
      <alignment horizontal="center" vertical="center" textRotation="255"/>
      <protection locked="0"/>
    </xf>
    <xf numFmtId="0" fontId="3" fillId="0" borderId="2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6" fillId="0" borderId="27" xfId="0" applyNumberFormat="1" applyFont="1" applyBorder="1" applyAlignment="1" applyProtection="1">
      <alignment horizontal="right" vertical="center" indent="1"/>
    </xf>
    <xf numFmtId="176" fontId="6" fillId="0" borderId="0" xfId="0" applyNumberFormat="1" applyFont="1" applyBorder="1" applyAlignment="1" applyProtection="1">
      <alignment horizontal="right" vertical="center" indent="1"/>
    </xf>
    <xf numFmtId="176" fontId="6" fillId="0" borderId="21" xfId="0" applyNumberFormat="1" applyFont="1" applyBorder="1" applyAlignment="1" applyProtection="1">
      <alignment horizontal="right" vertical="center" indent="1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textRotation="255" shrinkToFit="1"/>
    </xf>
    <xf numFmtId="0" fontId="4" fillId="0" borderId="3" xfId="0" applyFont="1" applyBorder="1" applyAlignment="1">
      <alignment horizontal="center" vertical="top" textRotation="255" shrinkToFit="1"/>
    </xf>
    <xf numFmtId="0" fontId="3" fillId="0" borderId="2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 textRotation="255"/>
      <protection locked="0"/>
    </xf>
    <xf numFmtId="0" fontId="5" fillId="2" borderId="23" xfId="0" applyFont="1" applyFill="1" applyBorder="1" applyAlignment="1" applyProtection="1">
      <alignment horizontal="center" vertical="center" textRotation="255"/>
      <protection locked="0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34" xfId="0" applyFont="1" applyBorder="1" applyAlignment="1">
      <alignment horizontal="center" vertical="center" textRotation="255" shrinkToFit="1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35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8" fillId="0" borderId="27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21" xfId="0" applyFont="1" applyBorder="1" applyAlignment="1" applyProtection="1">
      <alignment vertical="top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7" fontId="3" fillId="0" borderId="17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3" fillId="0" borderId="37" xfId="0" applyFont="1" applyBorder="1" applyAlignment="1" applyProtection="1">
      <alignment horizontal="center" vertical="center" textRotation="255"/>
      <protection locked="0"/>
    </xf>
    <xf numFmtId="0" fontId="3" fillId="0" borderId="38" xfId="0" applyFont="1" applyBorder="1" applyAlignment="1" applyProtection="1">
      <alignment horizontal="center" vertical="center" textRotation="255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 shrinkToFit="1"/>
    </xf>
    <xf numFmtId="0" fontId="4" fillId="0" borderId="27" xfId="0" applyFont="1" applyBorder="1" applyAlignment="1">
      <alignment horizontal="center" vertical="center" textRotation="255" wrapText="1" shrinkToFit="1"/>
    </xf>
    <xf numFmtId="0" fontId="4" fillId="0" borderId="2" xfId="0" applyFont="1" applyBorder="1" applyAlignment="1">
      <alignment horizontal="center" vertical="center" textRotation="255" wrapText="1" shrinkToFit="1"/>
    </xf>
    <xf numFmtId="0" fontId="5" fillId="0" borderId="37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6" fontId="6" fillId="0" borderId="40" xfId="0" applyNumberFormat="1" applyFont="1" applyBorder="1" applyAlignment="1" applyProtection="1">
      <alignment horizontal="center" vertical="center"/>
    </xf>
    <xf numFmtId="176" fontId="6" fillId="0" borderId="55" xfId="0" applyNumberFormat="1" applyFont="1" applyBorder="1" applyAlignment="1" applyProtection="1">
      <alignment horizontal="center" vertical="center"/>
    </xf>
    <xf numFmtId="176" fontId="6" fillId="0" borderId="35" xfId="0" applyNumberFormat="1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176" fontId="6" fillId="2" borderId="40" xfId="0" applyNumberFormat="1" applyFont="1" applyFill="1" applyBorder="1" applyAlignment="1" applyProtection="1">
      <alignment horizontal="right" vertical="center" indent="1"/>
      <protection locked="0"/>
    </xf>
    <xf numFmtId="176" fontId="6" fillId="2" borderId="55" xfId="0" applyNumberFormat="1" applyFont="1" applyFill="1" applyBorder="1" applyAlignment="1" applyProtection="1">
      <alignment horizontal="right" vertical="center" indent="1"/>
      <protection locked="0"/>
    </xf>
    <xf numFmtId="176" fontId="6" fillId="2" borderId="35" xfId="0" applyNumberFormat="1" applyFont="1" applyFill="1" applyBorder="1" applyAlignment="1" applyProtection="1">
      <alignment horizontal="right" vertical="center" indent="1"/>
      <protection locked="0"/>
    </xf>
    <xf numFmtId="0" fontId="5" fillId="0" borderId="14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6" fillId="0" borderId="40" xfId="0" applyNumberFormat="1" applyFont="1" applyBorder="1" applyAlignment="1" applyProtection="1">
      <alignment horizontal="right" vertical="center" indent="1"/>
    </xf>
    <xf numFmtId="176" fontId="6" fillId="0" borderId="55" xfId="0" applyNumberFormat="1" applyFont="1" applyBorder="1" applyAlignment="1" applyProtection="1">
      <alignment horizontal="right" vertical="center" indent="1"/>
    </xf>
    <xf numFmtId="176" fontId="6" fillId="0" borderId="35" xfId="0" applyNumberFormat="1" applyFont="1" applyBorder="1" applyAlignment="1" applyProtection="1">
      <alignment horizontal="right" vertical="center" indent="1"/>
    </xf>
    <xf numFmtId="0" fontId="3" fillId="0" borderId="8" xfId="0" applyFont="1" applyBorder="1" applyAlignment="1">
      <alignment horizontal="center" vertical="center"/>
    </xf>
    <xf numFmtId="178" fontId="6" fillId="2" borderId="56" xfId="1" applyNumberFormat="1" applyFont="1" applyFill="1" applyBorder="1" applyAlignment="1" applyProtection="1">
      <alignment vertical="center" shrinkToFit="1"/>
      <protection locked="0"/>
    </xf>
    <xf numFmtId="178" fontId="6" fillId="2" borderId="54" xfId="1" applyNumberFormat="1" applyFont="1" applyFill="1" applyBorder="1" applyAlignment="1" applyProtection="1">
      <alignment vertical="center" shrinkToFit="1"/>
      <protection locked="0"/>
    </xf>
    <xf numFmtId="178" fontId="6" fillId="2" borderId="38" xfId="1" applyNumberFormat="1" applyFont="1" applyFill="1" applyBorder="1" applyAlignment="1" applyProtection="1">
      <alignment vertical="center" shrinkToFit="1"/>
      <protection locked="0"/>
    </xf>
    <xf numFmtId="178" fontId="3" fillId="2" borderId="56" xfId="1" applyNumberFormat="1" applyFont="1" applyFill="1" applyBorder="1" applyAlignment="1" applyProtection="1">
      <alignment vertical="center" shrinkToFit="1"/>
      <protection locked="0"/>
    </xf>
    <xf numFmtId="178" fontId="3" fillId="2" borderId="54" xfId="1" applyNumberFormat="1" applyFont="1" applyFill="1" applyBorder="1" applyAlignment="1" applyProtection="1">
      <alignment vertical="center" shrinkToFit="1"/>
      <protection locked="0"/>
    </xf>
    <xf numFmtId="178" fontId="3" fillId="2" borderId="38" xfId="1" applyNumberFormat="1" applyFont="1" applyFill="1" applyBorder="1" applyAlignment="1" applyProtection="1">
      <alignment vertical="center" shrinkToFit="1"/>
      <protection locked="0"/>
    </xf>
    <xf numFmtId="178" fontId="6" fillId="2" borderId="50" xfId="1" applyNumberFormat="1" applyFont="1" applyFill="1" applyBorder="1" applyAlignment="1" applyProtection="1">
      <alignment vertical="center" shrinkToFit="1"/>
      <protection locked="0"/>
    </xf>
    <xf numFmtId="178" fontId="6" fillId="2" borderId="57" xfId="1" applyNumberFormat="1" applyFont="1" applyFill="1" applyBorder="1" applyAlignment="1" applyProtection="1">
      <alignment vertical="center" shrinkToFit="1"/>
      <protection locked="0"/>
    </xf>
    <xf numFmtId="178" fontId="6" fillId="2" borderId="53" xfId="1" applyNumberFormat="1" applyFont="1" applyFill="1" applyBorder="1" applyAlignment="1" applyProtection="1">
      <alignment vertical="center" shrinkToFit="1"/>
      <protection locked="0"/>
    </xf>
    <xf numFmtId="0" fontId="5" fillId="0" borderId="43" xfId="0" applyFont="1" applyBorder="1" applyAlignment="1">
      <alignment horizontal="distributed" vertical="center" wrapText="1" shrinkToFit="1"/>
    </xf>
    <xf numFmtId="0" fontId="5" fillId="0" borderId="58" xfId="0" applyFont="1" applyBorder="1" applyAlignment="1">
      <alignment horizontal="distributed" vertical="center" wrapText="1" shrinkToFit="1"/>
    </xf>
    <xf numFmtId="0" fontId="5" fillId="0" borderId="59" xfId="0" applyFont="1" applyBorder="1" applyAlignment="1">
      <alignment horizontal="distributed" vertical="center" wrapText="1" shrinkToFit="1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176" fontId="6" fillId="2" borderId="40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55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3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6" xfId="0" applyFont="1" applyBorder="1" applyAlignment="1" applyProtection="1">
      <alignment horizontal="center" vertical="center" textRotation="255"/>
      <protection locked="0"/>
    </xf>
    <xf numFmtId="0" fontId="3" fillId="0" borderId="5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54" xfId="0" applyFont="1" applyBorder="1" applyAlignment="1">
      <alignment horizontal="distributed" vertical="center" shrinkToFit="1"/>
    </xf>
    <xf numFmtId="178" fontId="3" fillId="2" borderId="56" xfId="0" applyNumberFormat="1" applyFont="1" applyFill="1" applyBorder="1" applyAlignment="1" applyProtection="1">
      <alignment vertical="center" shrinkToFit="1"/>
      <protection locked="0"/>
    </xf>
    <xf numFmtId="178" fontId="3" fillId="2" borderId="54" xfId="0" applyNumberFormat="1" applyFont="1" applyFill="1" applyBorder="1" applyAlignment="1" applyProtection="1">
      <alignment vertical="center" shrinkToFit="1"/>
      <protection locked="0"/>
    </xf>
    <xf numFmtId="178" fontId="3" fillId="2" borderId="38" xfId="0" applyNumberFormat="1" applyFont="1" applyFill="1" applyBorder="1" applyAlignment="1" applyProtection="1">
      <alignment vertical="center" shrinkToFit="1"/>
      <protection locked="0"/>
    </xf>
    <xf numFmtId="178" fontId="3" fillId="2" borderId="50" xfId="0" applyNumberFormat="1" applyFont="1" applyFill="1" applyBorder="1" applyAlignment="1" applyProtection="1">
      <alignment vertical="center" shrinkToFit="1"/>
      <protection locked="0"/>
    </xf>
    <xf numFmtId="178" fontId="3" fillId="2" borderId="57" xfId="0" applyNumberFormat="1" applyFont="1" applyFill="1" applyBorder="1" applyAlignment="1" applyProtection="1">
      <alignment vertical="center" shrinkToFit="1"/>
      <protection locked="0"/>
    </xf>
    <xf numFmtId="178" fontId="3" fillId="2" borderId="53" xfId="0" applyNumberFormat="1" applyFont="1" applyFill="1" applyBorder="1" applyAlignment="1" applyProtection="1">
      <alignment vertical="center" shrinkToFit="1"/>
      <protection locked="0"/>
    </xf>
    <xf numFmtId="38" fontId="5" fillId="0" borderId="37" xfId="1" applyFont="1" applyBorder="1" applyAlignment="1" applyProtection="1">
      <alignment horizontal="distributed" vertical="center" wrapText="1"/>
      <protection locked="0"/>
    </xf>
    <xf numFmtId="38" fontId="5" fillId="0" borderId="54" xfId="1" applyFont="1" applyBorder="1" applyAlignment="1" applyProtection="1">
      <alignment horizontal="distributed" vertical="center" wrapText="1"/>
      <protection locked="0"/>
    </xf>
    <xf numFmtId="38" fontId="5" fillId="0" borderId="38" xfId="1" applyFont="1" applyBorder="1" applyAlignment="1" applyProtection="1">
      <alignment horizontal="distributed" vertical="center" wrapText="1"/>
      <protection locked="0"/>
    </xf>
    <xf numFmtId="0" fontId="5" fillId="0" borderId="37" xfId="0" applyFont="1" applyBorder="1" applyAlignment="1" applyProtection="1">
      <alignment horizontal="distributed" vertical="top" wrapText="1"/>
      <protection locked="0"/>
    </xf>
    <xf numFmtId="0" fontId="5" fillId="0" borderId="54" xfId="0" applyFont="1" applyBorder="1" applyAlignment="1" applyProtection="1">
      <alignment horizontal="distributed" vertical="top" wrapText="1"/>
      <protection locked="0"/>
    </xf>
    <xf numFmtId="0" fontId="5" fillId="0" borderId="38" xfId="0" applyFont="1" applyBorder="1" applyAlignment="1" applyProtection="1">
      <alignment horizontal="distributed" vertical="top" wrapText="1"/>
      <protection locked="0"/>
    </xf>
    <xf numFmtId="0" fontId="5" fillId="0" borderId="52" xfId="0" applyFont="1" applyBorder="1" applyAlignment="1" applyProtection="1">
      <alignment horizontal="distributed" vertical="center" wrapText="1" shrinkToFit="1"/>
      <protection locked="0"/>
    </xf>
    <xf numFmtId="0" fontId="5" fillId="0" borderId="57" xfId="0" applyFont="1" applyBorder="1" applyAlignment="1" applyProtection="1">
      <alignment horizontal="distributed" vertical="center" wrapText="1" shrinkToFit="1"/>
      <protection locked="0"/>
    </xf>
    <xf numFmtId="0" fontId="5" fillId="0" borderId="53" xfId="0" applyFont="1" applyBorder="1" applyAlignment="1" applyProtection="1">
      <alignment horizontal="distributed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176" fontId="6" fillId="2" borderId="40" xfId="0" applyNumberFormat="1" applyFont="1" applyFill="1" applyBorder="1" applyAlignment="1" applyProtection="1">
      <alignment horizontal="right" vertical="center"/>
      <protection locked="0"/>
    </xf>
    <xf numFmtId="176" fontId="6" fillId="2" borderId="55" xfId="0" applyNumberFormat="1" applyFont="1" applyFill="1" applyBorder="1" applyAlignment="1" applyProtection="1">
      <alignment horizontal="right" vertical="center"/>
      <protection locked="0"/>
    </xf>
    <xf numFmtId="176" fontId="6" fillId="2" borderId="35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center" vertical="center" textRotation="255"/>
    </xf>
    <xf numFmtId="178" fontId="11" fillId="0" borderId="66" xfId="0" applyNumberFormat="1" applyFont="1" applyBorder="1" applyAlignment="1" applyProtection="1">
      <alignment vertical="center"/>
    </xf>
    <xf numFmtId="178" fontId="11" fillId="0" borderId="67" xfId="0" applyNumberFormat="1" applyFont="1" applyBorder="1" applyAlignment="1" applyProtection="1">
      <alignment vertical="center"/>
    </xf>
    <xf numFmtId="178" fontId="11" fillId="0" borderId="68" xfId="0" applyNumberFormat="1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vertical="center" wrapText="1"/>
    </xf>
    <xf numFmtId="0" fontId="3" fillId="0" borderId="24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76" fontId="6" fillId="0" borderId="40" xfId="0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 applyProtection="1">
      <alignment horizontal="right" vertical="center"/>
    </xf>
    <xf numFmtId="176" fontId="6" fillId="0" borderId="35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horizontal="left" vertical="center"/>
    </xf>
    <xf numFmtId="178" fontId="11" fillId="0" borderId="63" xfId="0" applyNumberFormat="1" applyFont="1" applyBorder="1" applyAlignment="1" applyProtection="1">
      <alignment vertical="center"/>
    </xf>
    <xf numFmtId="178" fontId="11" fillId="0" borderId="64" xfId="0" applyNumberFormat="1" applyFont="1" applyBorder="1" applyAlignment="1" applyProtection="1">
      <alignment vertical="center"/>
    </xf>
    <xf numFmtId="178" fontId="11" fillId="0" borderId="65" xfId="0" applyNumberFormat="1" applyFont="1" applyBorder="1" applyAlignment="1" applyProtection="1">
      <alignment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 indent="3" shrinkToFit="1"/>
    </xf>
    <xf numFmtId="0" fontId="3" fillId="0" borderId="9" xfId="0" applyFont="1" applyBorder="1" applyAlignment="1">
      <alignment horizontal="distributed" vertical="center" indent="3" shrinkToFit="1"/>
    </xf>
    <xf numFmtId="0" fontId="3" fillId="0" borderId="48" xfId="0" applyFont="1" applyBorder="1" applyAlignment="1">
      <alignment horizontal="distributed" vertical="center" indent="3" shrinkToFit="1"/>
    </xf>
    <xf numFmtId="0" fontId="3" fillId="0" borderId="45" xfId="0" applyFont="1" applyBorder="1" applyAlignment="1">
      <alignment horizontal="distributed" vertical="center" indent="3" shrinkToFit="1"/>
    </xf>
    <xf numFmtId="0" fontId="3" fillId="0" borderId="3" xfId="0" applyFont="1" applyBorder="1" applyAlignment="1">
      <alignment horizontal="distributed" vertical="center" indent="3" shrinkToFit="1"/>
    </xf>
    <xf numFmtId="0" fontId="3" fillId="0" borderId="25" xfId="0" applyFont="1" applyBorder="1" applyAlignment="1">
      <alignment horizontal="distributed" vertical="center" indent="3" shrinkToFit="1"/>
    </xf>
    <xf numFmtId="0" fontId="3" fillId="0" borderId="8" xfId="0" applyFont="1" applyBorder="1" applyAlignment="1">
      <alignment horizontal="distributed" vertical="center" indent="2" shrinkToFit="1"/>
    </xf>
    <xf numFmtId="0" fontId="3" fillId="0" borderId="9" xfId="0" applyFont="1" applyBorder="1" applyAlignment="1">
      <alignment horizontal="distributed" vertical="center" indent="2" shrinkToFit="1"/>
    </xf>
    <xf numFmtId="0" fontId="3" fillId="0" borderId="10" xfId="0" applyFont="1" applyBorder="1" applyAlignment="1">
      <alignment horizontal="distributed" vertical="center" indent="2" shrinkToFit="1"/>
    </xf>
    <xf numFmtId="0" fontId="3" fillId="0" borderId="45" xfId="0" applyFont="1" applyBorder="1" applyAlignment="1">
      <alignment horizontal="distributed" vertical="center" indent="2" shrinkToFit="1"/>
    </xf>
    <xf numFmtId="0" fontId="3" fillId="0" borderId="3" xfId="0" applyFont="1" applyBorder="1" applyAlignment="1">
      <alignment horizontal="distributed" vertical="center" indent="2" shrinkToFit="1"/>
    </xf>
    <xf numFmtId="0" fontId="3" fillId="0" borderId="46" xfId="0" applyFont="1" applyBorder="1" applyAlignment="1">
      <alignment horizontal="distributed" vertical="center" indent="2" shrinkToFit="1"/>
    </xf>
    <xf numFmtId="0" fontId="5" fillId="0" borderId="57" xfId="0" applyFont="1" applyBorder="1" applyAlignment="1">
      <alignment horizontal="distributed" vertical="center" shrinkToFit="1"/>
    </xf>
    <xf numFmtId="178" fontId="3" fillId="2" borderId="41" xfId="0" applyNumberFormat="1" applyFont="1" applyFill="1" applyBorder="1" applyAlignment="1" applyProtection="1">
      <alignment vertical="center" shrinkToFit="1"/>
      <protection locked="0"/>
    </xf>
    <xf numFmtId="178" fontId="3" fillId="2" borderId="58" xfId="0" applyNumberFormat="1" applyFont="1" applyFill="1" applyBorder="1" applyAlignment="1" applyProtection="1">
      <alignment vertical="center" shrinkToFit="1"/>
      <protection locked="0"/>
    </xf>
    <xf numFmtId="178" fontId="3" fillId="2" borderId="59" xfId="0" applyNumberFormat="1" applyFont="1" applyFill="1" applyBorder="1" applyAlignment="1" applyProtection="1">
      <alignment vertical="center" shrinkToFit="1"/>
      <protection locked="0"/>
    </xf>
    <xf numFmtId="176" fontId="6" fillId="2" borderId="0" xfId="0" applyNumberFormat="1" applyFont="1" applyFill="1" applyBorder="1" applyAlignment="1" applyProtection="1">
      <alignment horizontal="right" vertical="center"/>
      <protection locked="0"/>
    </xf>
    <xf numFmtId="176" fontId="6" fillId="2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76200</xdr:rowOff>
    </xdr:from>
    <xdr:to>
      <xdr:col>0</xdr:col>
      <xdr:colOff>228600</xdr:colOff>
      <xdr:row>3</xdr:row>
      <xdr:rowOff>104775</xdr:rowOff>
    </xdr:to>
    <xdr:sp macro="" textlink="">
      <xdr:nvSpPr>
        <xdr:cNvPr id="1094" name="Oval 1"/>
        <xdr:cNvSpPr>
          <a:spLocks noChangeArrowheads="1"/>
        </xdr:cNvSpPr>
      </xdr:nvSpPr>
      <xdr:spPr bwMode="auto">
        <a:xfrm>
          <a:off x="47625" y="76200"/>
          <a:ext cx="180975" cy="1809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4"/>
  <sheetViews>
    <sheetView tabSelected="1" zoomScaleNormal="100" workbookViewId="0">
      <selection activeCell="L11" sqref="L11:Q11"/>
    </sheetView>
  </sheetViews>
  <sheetFormatPr defaultRowHeight="12" x14ac:dyDescent="0.15"/>
  <cols>
    <col min="1" max="1" width="4" style="1" customWidth="1"/>
    <col min="2" max="2" width="2.140625" style="1" customWidth="1"/>
    <col min="3" max="3" width="1" style="1" customWidth="1"/>
    <col min="4" max="9" width="1.7109375" style="1" customWidth="1"/>
    <col min="10" max="10" width="2.7109375" style="1" customWidth="1"/>
    <col min="11" max="15" width="3.7109375" style="1" customWidth="1"/>
    <col min="16" max="30" width="3.5703125" style="1" customWidth="1"/>
    <col min="31" max="35" width="3.7109375" style="1" customWidth="1"/>
    <col min="36" max="36" width="2.85546875" style="1" customWidth="1"/>
    <col min="37" max="37" width="9.140625" style="1"/>
    <col min="38" max="38" width="9.7109375" style="1" hidden="1" customWidth="1"/>
    <col min="39" max="39" width="11.85546875" style="1" hidden="1" customWidth="1"/>
    <col min="40" max="46" width="9.140625" style="1" hidden="1" customWidth="1"/>
    <col min="47" max="16384" width="9.140625" style="1"/>
  </cols>
  <sheetData>
    <row r="1" spans="1:35" s="39" customFormat="1" ht="24" customHeight="1" x14ac:dyDescent="0.15">
      <c r="B1" s="318" t="s">
        <v>124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</row>
    <row r="2" spans="1:35" s="39" customFormat="1" ht="13.5" customHeight="1" x14ac:dyDescent="0.1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5" x14ac:dyDescent="0.15">
      <c r="A3" s="221">
        <v>25</v>
      </c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  <c r="S3" s="226" t="s">
        <v>60</v>
      </c>
      <c r="T3" s="227"/>
      <c r="U3" s="227"/>
      <c r="V3" s="228"/>
      <c r="W3" s="226" t="s">
        <v>61</v>
      </c>
      <c r="X3" s="227"/>
      <c r="Y3" s="227"/>
      <c r="Z3" s="227"/>
      <c r="AA3" s="227"/>
      <c r="AB3" s="227"/>
      <c r="AC3" s="227"/>
      <c r="AD3" s="228"/>
      <c r="AE3" s="198"/>
      <c r="AF3" s="199"/>
      <c r="AG3" s="199"/>
      <c r="AH3" s="199"/>
      <c r="AI3" s="200"/>
    </row>
    <row r="4" spans="1:35" ht="15" customHeight="1" x14ac:dyDescent="0.15">
      <c r="A4" s="221"/>
      <c r="B4" s="198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  <c r="S4" s="198"/>
      <c r="T4" s="199"/>
      <c r="U4" s="199"/>
      <c r="V4" s="200"/>
      <c r="W4" s="198"/>
      <c r="X4" s="199"/>
      <c r="Y4" s="199"/>
      <c r="Z4" s="199"/>
      <c r="AA4" s="199"/>
      <c r="AB4" s="199"/>
      <c r="AC4" s="199"/>
      <c r="AD4" s="200"/>
      <c r="AE4" s="198"/>
      <c r="AF4" s="199"/>
      <c r="AG4" s="199"/>
      <c r="AH4" s="199"/>
      <c r="AI4" s="200"/>
    </row>
    <row r="5" spans="1:35" x14ac:dyDescent="0.15">
      <c r="B5" s="205" t="s">
        <v>53</v>
      </c>
      <c r="C5" s="206"/>
      <c r="D5" s="206"/>
      <c r="E5" s="137"/>
      <c r="F5" s="197"/>
      <c r="G5" s="138" t="s">
        <v>55</v>
      </c>
      <c r="H5" s="137"/>
      <c r="I5" s="137"/>
      <c r="J5" s="137"/>
      <c r="K5" s="197"/>
      <c r="L5" s="198"/>
      <c r="M5" s="199"/>
      <c r="N5" s="199"/>
      <c r="O5" s="199"/>
      <c r="P5" s="199"/>
      <c r="Q5" s="199"/>
      <c r="R5" s="199"/>
      <c r="S5" s="199"/>
      <c r="T5" s="200"/>
      <c r="U5" s="110" t="s">
        <v>56</v>
      </c>
      <c r="V5" s="212" t="s">
        <v>57</v>
      </c>
      <c r="W5" s="213"/>
      <c r="X5" s="213"/>
      <c r="Y5" s="213"/>
      <c r="Z5" s="210"/>
      <c r="AA5" s="210"/>
      <c r="AB5" s="210"/>
      <c r="AC5" s="210"/>
      <c r="AD5" s="210"/>
      <c r="AE5" s="210"/>
      <c r="AF5" s="210"/>
      <c r="AG5" s="210"/>
      <c r="AH5" s="210"/>
      <c r="AI5" s="211"/>
    </row>
    <row r="6" spans="1:35" ht="12" customHeight="1" x14ac:dyDescent="0.15">
      <c r="B6" s="122"/>
      <c r="C6" s="123"/>
      <c r="D6" s="123"/>
      <c r="E6" s="123"/>
      <c r="F6" s="124"/>
      <c r="G6" s="107" t="s">
        <v>54</v>
      </c>
      <c r="H6" s="108"/>
      <c r="I6" s="108"/>
      <c r="J6" s="109"/>
      <c r="K6" s="113"/>
      <c r="L6" s="113"/>
      <c r="M6" s="113"/>
      <c r="N6" s="113"/>
      <c r="O6" s="113"/>
      <c r="P6" s="113"/>
      <c r="Q6" s="113"/>
      <c r="R6" s="113"/>
      <c r="S6" s="113"/>
      <c r="T6" s="114"/>
      <c r="U6" s="111"/>
      <c r="V6" s="216" t="s">
        <v>59</v>
      </c>
      <c r="W6" s="217"/>
      <c r="X6" s="217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4"/>
    </row>
    <row r="7" spans="1:35" ht="12" customHeight="1" x14ac:dyDescent="0.15">
      <c r="B7" s="122"/>
      <c r="C7" s="123"/>
      <c r="D7" s="123"/>
      <c r="E7" s="123"/>
      <c r="F7" s="124"/>
      <c r="G7" s="72"/>
      <c r="H7" s="73"/>
      <c r="I7" s="73"/>
      <c r="J7" s="74"/>
      <c r="K7" s="115"/>
      <c r="L7" s="115"/>
      <c r="M7" s="115"/>
      <c r="N7" s="115"/>
      <c r="O7" s="115"/>
      <c r="P7" s="115"/>
      <c r="Q7" s="115"/>
      <c r="R7" s="115"/>
      <c r="S7" s="115"/>
      <c r="T7" s="116"/>
      <c r="U7" s="111"/>
      <c r="V7" s="218" t="s">
        <v>58</v>
      </c>
      <c r="W7" s="219"/>
      <c r="X7" s="219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2"/>
    </row>
    <row r="8" spans="1:35" ht="14.25" x14ac:dyDescent="0.15">
      <c r="B8" s="207"/>
      <c r="C8" s="208"/>
      <c r="D8" s="208"/>
      <c r="E8" s="208"/>
      <c r="F8" s="209"/>
      <c r="G8" s="75"/>
      <c r="H8" s="76"/>
      <c r="I8" s="76"/>
      <c r="J8" s="77"/>
      <c r="K8" s="117"/>
      <c r="L8" s="117"/>
      <c r="M8" s="117"/>
      <c r="N8" s="117"/>
      <c r="O8" s="117"/>
      <c r="P8" s="117"/>
      <c r="Q8" s="117"/>
      <c r="R8" s="117"/>
      <c r="S8" s="117"/>
      <c r="T8" s="118"/>
      <c r="U8" s="112"/>
      <c r="V8" s="3"/>
      <c r="W8" s="4"/>
      <c r="X8" s="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5"/>
    </row>
    <row r="9" spans="1:35" x14ac:dyDescent="0.15">
      <c r="B9" s="198" t="s">
        <v>42</v>
      </c>
      <c r="C9" s="199"/>
      <c r="D9" s="199"/>
      <c r="E9" s="199"/>
      <c r="F9" s="199"/>
      <c r="G9" s="199"/>
      <c r="H9" s="199"/>
      <c r="I9" s="199"/>
      <c r="J9" s="199"/>
      <c r="K9" s="200"/>
      <c r="L9" s="138" t="s">
        <v>43</v>
      </c>
      <c r="M9" s="137"/>
      <c r="N9" s="137"/>
      <c r="O9" s="137"/>
      <c r="P9" s="137"/>
      <c r="Q9" s="197"/>
      <c r="R9" s="138" t="s">
        <v>44</v>
      </c>
      <c r="S9" s="137"/>
      <c r="T9" s="137"/>
      <c r="U9" s="137"/>
      <c r="V9" s="137"/>
      <c r="W9" s="197"/>
      <c r="X9" s="198" t="s">
        <v>45</v>
      </c>
      <c r="Y9" s="199"/>
      <c r="Z9" s="199"/>
      <c r="AA9" s="199"/>
      <c r="AB9" s="199"/>
      <c r="AC9" s="200"/>
      <c r="AD9" s="198" t="s">
        <v>46</v>
      </c>
      <c r="AE9" s="199"/>
      <c r="AF9" s="199"/>
      <c r="AG9" s="199"/>
      <c r="AH9" s="199"/>
      <c r="AI9" s="200"/>
    </row>
    <row r="10" spans="1:35" x14ac:dyDescent="0.15">
      <c r="A10" s="220" t="s">
        <v>79</v>
      </c>
      <c r="B10" s="232" t="s">
        <v>62</v>
      </c>
      <c r="C10" s="233"/>
      <c r="D10" s="233"/>
      <c r="E10" s="233"/>
      <c r="F10" s="233"/>
      <c r="G10" s="233"/>
      <c r="H10" s="233"/>
      <c r="I10" s="233"/>
      <c r="J10" s="233"/>
      <c r="K10" s="234"/>
      <c r="L10" s="10"/>
      <c r="M10" s="222"/>
      <c r="N10" s="222"/>
      <c r="O10" s="222"/>
      <c r="P10" s="222"/>
      <c r="Q10" s="12" t="s">
        <v>41</v>
      </c>
      <c r="R10" s="249"/>
      <c r="S10" s="222"/>
      <c r="T10" s="222"/>
      <c r="U10" s="222"/>
      <c r="V10" s="222"/>
      <c r="W10" s="12" t="s">
        <v>41</v>
      </c>
      <c r="X10" s="137"/>
      <c r="Y10" s="137"/>
      <c r="Z10" s="137"/>
      <c r="AA10" s="137"/>
      <c r="AB10" s="137"/>
      <c r="AC10" s="5" t="s">
        <v>41</v>
      </c>
      <c r="AD10" s="138"/>
      <c r="AE10" s="137"/>
      <c r="AF10" s="137"/>
      <c r="AG10" s="137"/>
      <c r="AH10" s="137"/>
      <c r="AI10" s="5" t="s">
        <v>41</v>
      </c>
    </row>
    <row r="11" spans="1:35" ht="18" customHeight="1" x14ac:dyDescent="0.15">
      <c r="A11" s="220"/>
      <c r="B11" s="235"/>
      <c r="C11" s="236"/>
      <c r="D11" s="236"/>
      <c r="E11" s="236"/>
      <c r="F11" s="236"/>
      <c r="G11" s="236"/>
      <c r="H11" s="236"/>
      <c r="I11" s="236"/>
      <c r="J11" s="236"/>
      <c r="K11" s="237"/>
      <c r="L11" s="238"/>
      <c r="M11" s="239"/>
      <c r="N11" s="239"/>
      <c r="O11" s="239"/>
      <c r="P11" s="239"/>
      <c r="Q11" s="240"/>
      <c r="R11" s="246">
        <f>VLOOKUP(L11,AL37:AM48,2,TRUE)</f>
        <v>0</v>
      </c>
      <c r="S11" s="247"/>
      <c r="T11" s="247"/>
      <c r="U11" s="247"/>
      <c r="V11" s="247"/>
      <c r="W11" s="248"/>
      <c r="X11" s="140">
        <f>AS51+X17+AA17+AD17</f>
        <v>380000</v>
      </c>
      <c r="Y11" s="140"/>
      <c r="Z11" s="140"/>
      <c r="AA11" s="140"/>
      <c r="AB11" s="140"/>
      <c r="AC11" s="141"/>
      <c r="AD11" s="139">
        <f>MAX(0,ROUNDDOWN((AM56-AG17)*1.021,-2))</f>
        <v>0</v>
      </c>
      <c r="AE11" s="140"/>
      <c r="AF11" s="140"/>
      <c r="AG11" s="140"/>
      <c r="AH11" s="140"/>
      <c r="AI11" s="141"/>
    </row>
    <row r="12" spans="1:35" ht="15" customHeight="1" x14ac:dyDescent="0.15">
      <c r="A12" s="220"/>
      <c r="B12" s="134" t="s">
        <v>5</v>
      </c>
      <c r="C12" s="135"/>
      <c r="D12" s="135"/>
      <c r="E12" s="135"/>
      <c r="F12" s="135"/>
      <c r="G12" s="135"/>
      <c r="H12" s="135"/>
      <c r="I12" s="135"/>
      <c r="J12" s="136"/>
      <c r="K12" s="119" t="s">
        <v>63</v>
      </c>
      <c r="L12" s="120"/>
      <c r="M12" s="121"/>
      <c r="N12" s="303" t="s">
        <v>70</v>
      </c>
      <c r="O12" s="304"/>
      <c r="P12" s="304"/>
      <c r="Q12" s="304"/>
      <c r="R12" s="304"/>
      <c r="S12" s="304"/>
      <c r="T12" s="305"/>
      <c r="U12" s="306" t="s">
        <v>33</v>
      </c>
      <c r="V12" s="307"/>
      <c r="W12" s="308"/>
      <c r="X12" s="300" t="s">
        <v>35</v>
      </c>
      <c r="Y12" s="301"/>
      <c r="Z12" s="302"/>
      <c r="AA12" s="300" t="s">
        <v>36</v>
      </c>
      <c r="AB12" s="301"/>
      <c r="AC12" s="302"/>
      <c r="AD12" s="300" t="s">
        <v>38</v>
      </c>
      <c r="AE12" s="301"/>
      <c r="AF12" s="302"/>
      <c r="AG12" s="300" t="s">
        <v>39</v>
      </c>
      <c r="AH12" s="301"/>
      <c r="AI12" s="302"/>
    </row>
    <row r="13" spans="1:35" x14ac:dyDescent="0.15">
      <c r="A13" s="220"/>
      <c r="B13" s="122" t="s">
        <v>6</v>
      </c>
      <c r="C13" s="123"/>
      <c r="D13" s="123"/>
      <c r="E13" s="123"/>
      <c r="F13" s="123"/>
      <c r="G13" s="123"/>
      <c r="H13" s="123"/>
      <c r="I13" s="124"/>
      <c r="J13" s="322" t="s">
        <v>4</v>
      </c>
      <c r="K13" s="122" t="s">
        <v>64</v>
      </c>
      <c r="L13" s="123"/>
      <c r="M13" s="124"/>
      <c r="N13" s="306" t="s">
        <v>71</v>
      </c>
      <c r="O13" s="307"/>
      <c r="P13" s="307"/>
      <c r="Q13" s="307"/>
      <c r="R13" s="307"/>
      <c r="S13" s="307"/>
      <c r="T13" s="308"/>
      <c r="U13" s="186" t="s">
        <v>72</v>
      </c>
      <c r="V13" s="244"/>
      <c r="W13" s="245"/>
      <c r="X13" s="342" t="s">
        <v>34</v>
      </c>
      <c r="Y13" s="343"/>
      <c r="Z13" s="344"/>
      <c r="AA13" s="342" t="s">
        <v>37</v>
      </c>
      <c r="AB13" s="343"/>
      <c r="AC13" s="344"/>
      <c r="AD13" s="342" t="s">
        <v>37</v>
      </c>
      <c r="AE13" s="343"/>
      <c r="AF13" s="344"/>
      <c r="AG13" s="303" t="s">
        <v>40</v>
      </c>
      <c r="AH13" s="304"/>
      <c r="AI13" s="305"/>
    </row>
    <row r="14" spans="1:35" x14ac:dyDescent="0.15">
      <c r="A14" s="220"/>
      <c r="B14" s="122"/>
      <c r="C14" s="123"/>
      <c r="D14" s="123"/>
      <c r="E14" s="123"/>
      <c r="F14" s="208"/>
      <c r="G14" s="208"/>
      <c r="H14" s="208"/>
      <c r="I14" s="209"/>
      <c r="J14" s="323"/>
      <c r="K14" s="125"/>
      <c r="L14" s="126"/>
      <c r="M14" s="127"/>
      <c r="N14" s="218" t="s">
        <v>32</v>
      </c>
      <c r="O14" s="309"/>
      <c r="P14" s="218" t="s">
        <v>4</v>
      </c>
      <c r="Q14" s="219"/>
      <c r="R14" s="309"/>
      <c r="S14" s="218" t="s">
        <v>9</v>
      </c>
      <c r="T14" s="309"/>
      <c r="U14" s="218" t="s">
        <v>8</v>
      </c>
      <c r="V14" s="310"/>
      <c r="W14" s="9" t="s">
        <v>9</v>
      </c>
      <c r="X14" s="342"/>
      <c r="Y14" s="343"/>
      <c r="Z14" s="344"/>
      <c r="AA14" s="342"/>
      <c r="AB14" s="343"/>
      <c r="AC14" s="344"/>
      <c r="AD14" s="342"/>
      <c r="AE14" s="343"/>
      <c r="AF14" s="344"/>
      <c r="AG14" s="306"/>
      <c r="AH14" s="307"/>
      <c r="AI14" s="308"/>
    </row>
    <row r="15" spans="1:35" ht="11.25" customHeight="1" x14ac:dyDescent="0.15">
      <c r="A15" s="220"/>
      <c r="B15" s="166" t="s">
        <v>0</v>
      </c>
      <c r="C15" s="167"/>
      <c r="D15" s="345" t="s">
        <v>1</v>
      </c>
      <c r="E15" s="346"/>
      <c r="F15" s="144" t="s">
        <v>2</v>
      </c>
      <c r="G15" s="145"/>
      <c r="H15" s="191" t="s">
        <v>3</v>
      </c>
      <c r="I15" s="192"/>
      <c r="J15" s="18"/>
      <c r="K15" s="11"/>
      <c r="L15" s="11"/>
      <c r="M15" s="12" t="s">
        <v>41</v>
      </c>
      <c r="N15" s="14" t="s">
        <v>28</v>
      </c>
      <c r="O15" s="8" t="s">
        <v>29</v>
      </c>
      <c r="P15" s="15" t="s">
        <v>30</v>
      </c>
      <c r="Q15" s="16" t="s">
        <v>31</v>
      </c>
      <c r="R15" s="8" t="s">
        <v>29</v>
      </c>
      <c r="S15" s="14" t="s">
        <v>31</v>
      </c>
      <c r="T15" s="8" t="s">
        <v>29</v>
      </c>
      <c r="U15" s="15" t="s">
        <v>30</v>
      </c>
      <c r="V15" s="16" t="s">
        <v>31</v>
      </c>
      <c r="W15" s="14" t="s">
        <v>31</v>
      </c>
      <c r="X15" s="29"/>
      <c r="Y15" s="30"/>
      <c r="Z15" s="31" t="s">
        <v>41</v>
      </c>
      <c r="AA15" s="13"/>
      <c r="AB15" s="11"/>
      <c r="AC15" s="12" t="s">
        <v>41</v>
      </c>
      <c r="AD15" s="13"/>
      <c r="AE15" s="11"/>
      <c r="AF15" s="12" t="s">
        <v>41</v>
      </c>
      <c r="AG15" s="2"/>
      <c r="AH15" s="2"/>
      <c r="AI15" s="5" t="s">
        <v>41</v>
      </c>
    </row>
    <row r="16" spans="1:35" ht="12" customHeight="1" x14ac:dyDescent="0.15">
      <c r="A16" s="220"/>
      <c r="B16" s="168"/>
      <c r="C16" s="169"/>
      <c r="D16" s="347"/>
      <c r="E16" s="348"/>
      <c r="F16" s="146"/>
      <c r="G16" s="147"/>
      <c r="H16" s="193"/>
      <c r="I16" s="194"/>
      <c r="J16" s="21"/>
      <c r="K16" s="20"/>
      <c r="L16" s="20"/>
      <c r="M16" s="23"/>
      <c r="N16" s="24"/>
      <c r="O16" s="25"/>
      <c r="P16" s="26"/>
      <c r="Q16" s="27"/>
      <c r="R16" s="25"/>
      <c r="S16" s="24"/>
      <c r="T16" s="25"/>
      <c r="U16" s="26"/>
      <c r="V16" s="27"/>
      <c r="W16" s="24"/>
      <c r="X16" s="188"/>
      <c r="Y16" s="189"/>
      <c r="Z16" s="190"/>
      <c r="AA16" s="22"/>
      <c r="AB16" s="20"/>
      <c r="AC16" s="23"/>
      <c r="AD16" s="22"/>
      <c r="AE16" s="20"/>
      <c r="AF16" s="23"/>
      <c r="AG16" s="20"/>
      <c r="AH16" s="20"/>
      <c r="AI16" s="28"/>
    </row>
    <row r="17" spans="1:35" ht="15" customHeight="1" x14ac:dyDescent="0.15">
      <c r="A17" s="220"/>
      <c r="B17" s="262"/>
      <c r="C17" s="263"/>
      <c r="D17" s="164"/>
      <c r="E17" s="165"/>
      <c r="F17" s="267"/>
      <c r="G17" s="268"/>
      <c r="H17" s="195"/>
      <c r="I17" s="196"/>
      <c r="J17" s="34"/>
      <c r="K17" s="229">
        <f>IF(AA19&gt;380000,VLOOKUP(AA19,AL66:AM75,2,TRUE),0)</f>
        <v>0</v>
      </c>
      <c r="L17" s="230"/>
      <c r="M17" s="231"/>
      <c r="N17" s="35"/>
      <c r="O17" s="32"/>
      <c r="P17" s="36"/>
      <c r="Q17" s="37"/>
      <c r="R17" s="32"/>
      <c r="S17" s="35"/>
      <c r="T17" s="32"/>
      <c r="U17" s="36"/>
      <c r="V17" s="37"/>
      <c r="W17" s="35"/>
      <c r="X17" s="264"/>
      <c r="Y17" s="265"/>
      <c r="Z17" s="266"/>
      <c r="AA17" s="315">
        <f>MIN(MAX(MIN(AM78+AM84,40000),AM78)+MAX(MIN(AP78+AP84,40000),AP78)+AS84,120000)</f>
        <v>0</v>
      </c>
      <c r="AB17" s="316"/>
      <c r="AC17" s="317"/>
      <c r="AD17" s="291"/>
      <c r="AE17" s="292"/>
      <c r="AF17" s="293"/>
      <c r="AG17" s="340"/>
      <c r="AH17" s="340"/>
      <c r="AI17" s="341"/>
    </row>
    <row r="18" spans="1:35" ht="20.25" customHeight="1" x14ac:dyDescent="0.15">
      <c r="A18" s="220"/>
      <c r="B18" s="142" t="s">
        <v>68</v>
      </c>
      <c r="C18" s="143"/>
      <c r="D18" s="143"/>
      <c r="E18" s="143"/>
      <c r="F18" s="143"/>
      <c r="G18" s="143"/>
      <c r="H18" s="33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  <c r="AD18" s="259" t="s">
        <v>77</v>
      </c>
      <c r="AE18" s="260"/>
      <c r="AF18" s="261"/>
      <c r="AG18" s="337"/>
      <c r="AH18" s="338"/>
      <c r="AI18" s="339"/>
    </row>
    <row r="19" spans="1:35" ht="20.25" customHeight="1" x14ac:dyDescent="0.15">
      <c r="A19" s="220"/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290"/>
      <c r="X19" s="279" t="s">
        <v>73</v>
      </c>
      <c r="Y19" s="280"/>
      <c r="Z19" s="281"/>
      <c r="AA19" s="337"/>
      <c r="AB19" s="338"/>
      <c r="AC19" s="339"/>
      <c r="AD19" s="272" t="s">
        <v>76</v>
      </c>
      <c r="AE19" s="272"/>
      <c r="AF19" s="272"/>
      <c r="AG19" s="250"/>
      <c r="AH19" s="251"/>
      <c r="AI19" s="252"/>
    </row>
    <row r="20" spans="1:35" ht="20.25" customHeight="1" x14ac:dyDescent="0.15">
      <c r="A20" s="220"/>
      <c r="B20" s="180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2"/>
      <c r="X20" s="282" t="s">
        <v>74</v>
      </c>
      <c r="Y20" s="283"/>
      <c r="Z20" s="284"/>
      <c r="AA20" s="273"/>
      <c r="AB20" s="274"/>
      <c r="AC20" s="275"/>
      <c r="AD20" s="272" t="s">
        <v>78</v>
      </c>
      <c r="AE20" s="272"/>
      <c r="AF20" s="272"/>
      <c r="AG20" s="253"/>
      <c r="AH20" s="254"/>
      <c r="AI20" s="255"/>
    </row>
    <row r="21" spans="1:35" ht="20.25" customHeight="1" x14ac:dyDescent="0.15">
      <c r="A21" s="220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5"/>
      <c r="X21" s="285" t="s">
        <v>75</v>
      </c>
      <c r="Y21" s="286"/>
      <c r="Z21" s="287"/>
      <c r="AA21" s="276"/>
      <c r="AB21" s="277"/>
      <c r="AC21" s="278"/>
      <c r="AD21" s="336" t="s">
        <v>52</v>
      </c>
      <c r="AE21" s="336"/>
      <c r="AF21" s="336"/>
      <c r="AG21" s="256"/>
      <c r="AH21" s="257"/>
      <c r="AI21" s="258"/>
    </row>
    <row r="22" spans="1:35" ht="12" customHeight="1" x14ac:dyDescent="0.15">
      <c r="A22" s="220"/>
      <c r="B22" s="223" t="s">
        <v>66</v>
      </c>
      <c r="C22" s="154">
        <v>16</v>
      </c>
      <c r="D22" s="154"/>
      <c r="E22" s="148" t="s">
        <v>7</v>
      </c>
      <c r="F22" s="149"/>
      <c r="G22" s="131" t="s">
        <v>25</v>
      </c>
      <c r="H22" s="128"/>
      <c r="I22" s="128" t="s">
        <v>23</v>
      </c>
      <c r="J22" s="128"/>
      <c r="K22" s="110" t="s">
        <v>24</v>
      </c>
      <c r="L22" s="159" t="s">
        <v>67</v>
      </c>
      <c r="M22" s="313" t="s">
        <v>69</v>
      </c>
      <c r="N22" s="314"/>
      <c r="O22" s="162" t="s">
        <v>10</v>
      </c>
      <c r="P22" s="163"/>
      <c r="Q22" s="242" t="s">
        <v>12</v>
      </c>
      <c r="R22" s="269" t="s">
        <v>13</v>
      </c>
      <c r="S22" s="330" t="s">
        <v>26</v>
      </c>
      <c r="T22" s="331"/>
      <c r="U22" s="331"/>
      <c r="V22" s="331"/>
      <c r="W22" s="331"/>
      <c r="X22" s="331"/>
      <c r="Y22" s="332"/>
      <c r="Z22" s="324" t="s">
        <v>27</v>
      </c>
      <c r="AA22" s="325"/>
      <c r="AB22" s="325"/>
      <c r="AC22" s="325"/>
      <c r="AD22" s="325"/>
      <c r="AE22" s="325"/>
      <c r="AF22" s="325"/>
      <c r="AG22" s="325"/>
      <c r="AH22" s="325"/>
      <c r="AI22" s="326"/>
    </row>
    <row r="23" spans="1:35" ht="12.75" customHeight="1" x14ac:dyDescent="0.15">
      <c r="B23" s="224"/>
      <c r="C23" s="155" t="s">
        <v>65</v>
      </c>
      <c r="D23" s="155"/>
      <c r="E23" s="150"/>
      <c r="F23" s="151"/>
      <c r="G23" s="132"/>
      <c r="H23" s="129"/>
      <c r="I23" s="129"/>
      <c r="J23" s="129"/>
      <c r="K23" s="111"/>
      <c r="L23" s="160"/>
      <c r="M23" s="241" t="s">
        <v>8</v>
      </c>
      <c r="N23" s="128" t="s">
        <v>9</v>
      </c>
      <c r="O23" s="294" t="s">
        <v>11</v>
      </c>
      <c r="P23" s="294" t="s">
        <v>8</v>
      </c>
      <c r="Q23" s="243"/>
      <c r="R23" s="270"/>
      <c r="S23" s="333"/>
      <c r="T23" s="334"/>
      <c r="U23" s="334"/>
      <c r="V23" s="334"/>
      <c r="W23" s="334"/>
      <c r="X23" s="334"/>
      <c r="Y23" s="335"/>
      <c r="Z23" s="327"/>
      <c r="AA23" s="328"/>
      <c r="AB23" s="328"/>
      <c r="AC23" s="328"/>
      <c r="AD23" s="328"/>
      <c r="AE23" s="328"/>
      <c r="AF23" s="328"/>
      <c r="AG23" s="328"/>
      <c r="AH23" s="328"/>
      <c r="AI23" s="329"/>
    </row>
    <row r="24" spans="1:35" ht="12.75" customHeight="1" x14ac:dyDescent="0.15">
      <c r="B24" s="225"/>
      <c r="C24" s="156"/>
      <c r="D24" s="156"/>
      <c r="E24" s="152"/>
      <c r="F24" s="153"/>
      <c r="G24" s="133"/>
      <c r="H24" s="130"/>
      <c r="I24" s="130"/>
      <c r="J24" s="130"/>
      <c r="K24" s="112"/>
      <c r="L24" s="161"/>
      <c r="M24" s="241"/>
      <c r="N24" s="130"/>
      <c r="O24" s="294"/>
      <c r="P24" s="294"/>
      <c r="Q24" s="243"/>
      <c r="R24" s="271"/>
      <c r="S24" s="17" t="s">
        <v>14</v>
      </c>
      <c r="T24" s="7" t="s">
        <v>15</v>
      </c>
      <c r="U24" s="7" t="s">
        <v>16</v>
      </c>
      <c r="V24" s="186" t="s">
        <v>17</v>
      </c>
      <c r="W24" s="245"/>
      <c r="X24" s="186" t="s">
        <v>18</v>
      </c>
      <c r="Y24" s="187"/>
      <c r="Z24" s="6" t="s">
        <v>19</v>
      </c>
      <c r="AA24" s="7" t="s">
        <v>20</v>
      </c>
      <c r="AB24" s="7" t="s">
        <v>21</v>
      </c>
      <c r="AC24" s="7" t="s">
        <v>22</v>
      </c>
      <c r="AD24" s="186" t="s">
        <v>16</v>
      </c>
      <c r="AE24" s="245"/>
      <c r="AF24" s="186" t="s">
        <v>17</v>
      </c>
      <c r="AG24" s="245"/>
      <c r="AH24" s="186" t="s">
        <v>18</v>
      </c>
      <c r="AI24" s="245"/>
    </row>
    <row r="25" spans="1:35" ht="9.75" customHeight="1" x14ac:dyDescent="0.15">
      <c r="B25" s="63" t="s">
        <v>28</v>
      </c>
      <c r="C25" s="64"/>
      <c r="D25" s="64"/>
      <c r="E25" s="172"/>
      <c r="F25" s="173"/>
      <c r="G25" s="176"/>
      <c r="H25" s="131"/>
      <c r="I25" s="178"/>
      <c r="J25" s="131"/>
      <c r="K25" s="110"/>
      <c r="L25" s="159"/>
      <c r="M25" s="170"/>
      <c r="N25" s="67"/>
      <c r="O25" s="105"/>
      <c r="P25" s="105"/>
      <c r="Q25" s="67"/>
      <c r="R25" s="65"/>
      <c r="S25" s="97"/>
      <c r="T25" s="99"/>
      <c r="U25" s="99">
        <v>25</v>
      </c>
      <c r="V25" s="93"/>
      <c r="W25" s="102"/>
      <c r="X25" s="93"/>
      <c r="Y25" s="94"/>
      <c r="Z25" s="97"/>
      <c r="AA25" s="99"/>
      <c r="AB25" s="99"/>
      <c r="AC25" s="99"/>
      <c r="AD25" s="93"/>
      <c r="AE25" s="102"/>
      <c r="AF25" s="93"/>
      <c r="AG25" s="102"/>
      <c r="AH25" s="93"/>
      <c r="AI25" s="102"/>
    </row>
    <row r="26" spans="1:35" ht="13.5" customHeight="1" x14ac:dyDescent="0.15">
      <c r="B26" s="311"/>
      <c r="C26" s="311"/>
      <c r="D26" s="312"/>
      <c r="E26" s="174"/>
      <c r="F26" s="175"/>
      <c r="G26" s="177"/>
      <c r="H26" s="133"/>
      <c r="I26" s="179"/>
      <c r="J26" s="133"/>
      <c r="K26" s="112"/>
      <c r="L26" s="161"/>
      <c r="M26" s="171"/>
      <c r="N26" s="68"/>
      <c r="O26" s="106"/>
      <c r="P26" s="106"/>
      <c r="Q26" s="68"/>
      <c r="R26" s="66"/>
      <c r="S26" s="98"/>
      <c r="T26" s="100"/>
      <c r="U26" s="100"/>
      <c r="V26" s="95"/>
      <c r="W26" s="158"/>
      <c r="X26" s="95"/>
      <c r="Y26" s="96"/>
      <c r="Z26" s="157"/>
      <c r="AA26" s="101"/>
      <c r="AB26" s="101"/>
      <c r="AC26" s="101"/>
      <c r="AD26" s="103"/>
      <c r="AE26" s="104"/>
      <c r="AF26" s="103"/>
      <c r="AG26" s="104"/>
      <c r="AH26" s="103"/>
      <c r="AI26" s="104"/>
    </row>
    <row r="27" spans="1:35" ht="18" customHeight="1" x14ac:dyDescent="0.15">
      <c r="B27" s="72" t="s">
        <v>47</v>
      </c>
      <c r="C27" s="73"/>
      <c r="D27" s="73"/>
      <c r="E27" s="74"/>
      <c r="F27" s="87" t="s">
        <v>48</v>
      </c>
      <c r="G27" s="88"/>
      <c r="H27" s="88"/>
      <c r="I27" s="88"/>
      <c r="J27" s="88"/>
      <c r="K27" s="88"/>
      <c r="L27" s="89"/>
      <c r="M27" s="78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</row>
    <row r="28" spans="1:35" ht="18" customHeight="1" x14ac:dyDescent="0.15">
      <c r="B28" s="72"/>
      <c r="C28" s="73"/>
      <c r="D28" s="73"/>
      <c r="E28" s="74"/>
      <c r="F28" s="69" t="s">
        <v>49</v>
      </c>
      <c r="G28" s="70"/>
      <c r="H28" s="70"/>
      <c r="I28" s="70"/>
      <c r="J28" s="70"/>
      <c r="K28" s="70"/>
      <c r="L28" s="71"/>
      <c r="M28" s="81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3"/>
    </row>
    <row r="29" spans="1:35" ht="18" customHeight="1" x14ac:dyDescent="0.15">
      <c r="B29" s="72"/>
      <c r="C29" s="73"/>
      <c r="D29" s="73"/>
      <c r="E29" s="74"/>
      <c r="F29" s="90" t="s">
        <v>50</v>
      </c>
      <c r="G29" s="91"/>
      <c r="H29" s="91"/>
      <c r="I29" s="91"/>
      <c r="J29" s="91"/>
      <c r="K29" s="91"/>
      <c r="L29" s="92"/>
      <c r="M29" s="8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</row>
    <row r="30" spans="1:35" ht="18" customHeight="1" x14ac:dyDescent="0.15">
      <c r="B30" s="75"/>
      <c r="C30" s="76"/>
      <c r="D30" s="76"/>
      <c r="E30" s="77"/>
      <c r="F30" s="69" t="s">
        <v>51</v>
      </c>
      <c r="G30" s="70"/>
      <c r="H30" s="70"/>
      <c r="I30" s="70"/>
      <c r="J30" s="70"/>
      <c r="K30" s="70"/>
      <c r="L30" s="71"/>
      <c r="M30" s="8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</row>
    <row r="32" spans="1:35" ht="30" customHeight="1" x14ac:dyDescent="0.15">
      <c r="B32" s="299" t="s">
        <v>123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</row>
    <row r="33" spans="2:48" x14ac:dyDescent="0.15"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</row>
    <row r="34" spans="2:48" ht="12.75" thickBot="1" x14ac:dyDescent="0.2"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</row>
    <row r="35" spans="2:48" ht="21" customHeight="1" thickBot="1" x14ac:dyDescent="0.2">
      <c r="B35" s="56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M35" s="57"/>
      <c r="N35" s="58"/>
      <c r="O35" s="58"/>
      <c r="P35" s="58"/>
      <c r="Q35" s="58"/>
      <c r="R35" s="59"/>
    </row>
    <row r="36" spans="2:48" x14ac:dyDescent="0.15">
      <c r="AL36" s="39" t="s">
        <v>83</v>
      </c>
      <c r="AM36" s="39" t="s">
        <v>84</v>
      </c>
      <c r="AN36" s="39"/>
      <c r="AO36" s="39"/>
      <c r="AP36" s="39"/>
      <c r="AQ36" s="39"/>
      <c r="AR36" s="39"/>
      <c r="AS36" s="39"/>
    </row>
    <row r="37" spans="2:48" ht="14.25" x14ac:dyDescent="0.15">
      <c r="B37" s="56" t="s">
        <v>81</v>
      </c>
      <c r="C37" s="56"/>
      <c r="D37" s="56"/>
      <c r="E37" s="56"/>
      <c r="F37" s="56"/>
      <c r="G37" s="56"/>
      <c r="H37" s="56"/>
      <c r="I37" s="56"/>
      <c r="J37" s="56"/>
      <c r="K37" s="56"/>
      <c r="M37" s="60">
        <f>IF(M35&gt;0,M35-2000,0)</f>
        <v>0</v>
      </c>
      <c r="N37" s="61"/>
      <c r="O37" s="61"/>
      <c r="P37" s="61"/>
      <c r="Q37" s="61"/>
      <c r="R37" s="62"/>
      <c r="AL37" s="40">
        <v>0</v>
      </c>
      <c r="AM37" s="40">
        <v>0</v>
      </c>
      <c r="AN37" s="39"/>
      <c r="AO37" s="39"/>
      <c r="AP37" s="39"/>
      <c r="AQ37" s="39"/>
      <c r="AR37" s="39"/>
      <c r="AS37" s="39"/>
    </row>
    <row r="38" spans="2:48" x14ac:dyDescent="0.15">
      <c r="AL38" s="40">
        <v>651000</v>
      </c>
      <c r="AM38" s="41">
        <f>L11-650000</f>
        <v>-650000</v>
      </c>
      <c r="AN38" s="39"/>
      <c r="AO38" s="39"/>
      <c r="AP38" s="39"/>
      <c r="AQ38" s="39"/>
      <c r="AR38" s="39"/>
      <c r="AS38" s="39"/>
    </row>
    <row r="39" spans="2:48" ht="14.25" x14ac:dyDescent="0.15">
      <c r="B39" s="56" t="s">
        <v>82</v>
      </c>
      <c r="C39" s="56"/>
      <c r="D39" s="56"/>
      <c r="E39" s="56"/>
      <c r="F39" s="56"/>
      <c r="G39" s="56"/>
      <c r="H39" s="56"/>
      <c r="I39" s="56"/>
      <c r="J39" s="56"/>
      <c r="K39" s="56"/>
      <c r="M39" s="60">
        <f>IF(M35&gt;0,M35-2000,0)</f>
        <v>0</v>
      </c>
      <c r="N39" s="61"/>
      <c r="O39" s="61"/>
      <c r="P39" s="61"/>
      <c r="Q39" s="61"/>
      <c r="R39" s="62"/>
      <c r="AL39" s="40">
        <v>1619000</v>
      </c>
      <c r="AM39" s="40">
        <v>969000</v>
      </c>
      <c r="AN39" s="39"/>
      <c r="AO39" s="39"/>
      <c r="AP39" s="39"/>
      <c r="AQ39" s="39"/>
      <c r="AR39" s="39"/>
      <c r="AS39" s="39"/>
    </row>
    <row r="40" spans="2:48" x14ac:dyDescent="0.15">
      <c r="AL40" s="40">
        <v>1620000</v>
      </c>
      <c r="AM40" s="40">
        <v>970000</v>
      </c>
      <c r="AN40" s="39"/>
      <c r="AO40" s="39"/>
      <c r="AP40" s="39"/>
      <c r="AQ40" s="39"/>
      <c r="AR40" s="39"/>
      <c r="AS40" s="39"/>
    </row>
    <row r="41" spans="2:48" x14ac:dyDescent="0.15">
      <c r="AL41" s="40">
        <v>1622000</v>
      </c>
      <c r="AM41" s="40">
        <v>972000</v>
      </c>
      <c r="AN41" s="39"/>
      <c r="AO41" s="39"/>
      <c r="AP41" s="39"/>
      <c r="AQ41" s="39"/>
      <c r="AR41" s="39"/>
      <c r="AS41" s="39"/>
    </row>
    <row r="42" spans="2:48" ht="15" customHeight="1" thickBot="1" x14ac:dyDescent="0.2">
      <c r="M42" s="55" t="s">
        <v>116</v>
      </c>
      <c r="N42" s="55"/>
      <c r="O42" s="55"/>
      <c r="P42" s="55"/>
      <c r="Q42" s="55"/>
      <c r="R42" s="39"/>
      <c r="S42" s="55" t="s">
        <v>117</v>
      </c>
      <c r="T42" s="55"/>
      <c r="U42" s="55"/>
      <c r="V42" s="55"/>
      <c r="W42" s="55"/>
      <c r="X42" s="39"/>
      <c r="Y42" s="39"/>
      <c r="Z42" s="55" t="s">
        <v>118</v>
      </c>
      <c r="AA42" s="55"/>
      <c r="AB42" s="55"/>
      <c r="AC42" s="55"/>
      <c r="AD42" s="55"/>
      <c r="AL42" s="40">
        <v>1624000</v>
      </c>
      <c r="AM42" s="40">
        <v>974000</v>
      </c>
      <c r="AN42" s="39"/>
      <c r="AO42" s="39"/>
      <c r="AP42" s="39"/>
      <c r="AQ42" s="39"/>
      <c r="AR42" s="39"/>
      <c r="AS42" s="39"/>
    </row>
    <row r="43" spans="2:48" ht="15" customHeight="1" thickTop="1" thickBot="1" x14ac:dyDescent="0.2">
      <c r="B43" s="298" t="s">
        <v>120</v>
      </c>
      <c r="C43" s="298"/>
      <c r="D43" s="298"/>
      <c r="E43" s="298"/>
      <c r="F43" s="298"/>
      <c r="G43" s="298"/>
      <c r="H43" s="298"/>
      <c r="I43" s="298"/>
      <c r="J43" s="298"/>
      <c r="K43" s="298"/>
      <c r="M43" s="319">
        <f>AD11</f>
        <v>0</v>
      </c>
      <c r="N43" s="320"/>
      <c r="O43" s="320"/>
      <c r="P43" s="320"/>
      <c r="Q43" s="321"/>
      <c r="R43" s="39"/>
      <c r="S43" s="319">
        <f>MAX(ROUNDDOWN((AO56-AG17)*1.021,-2),0)</f>
        <v>0</v>
      </c>
      <c r="T43" s="320"/>
      <c r="U43" s="320"/>
      <c r="V43" s="320"/>
      <c r="W43" s="321"/>
      <c r="X43" s="39"/>
      <c r="Y43" s="39"/>
      <c r="Z43" s="295">
        <f>M43-S43</f>
        <v>0</v>
      </c>
      <c r="AA43" s="296"/>
      <c r="AB43" s="296"/>
      <c r="AC43" s="296"/>
      <c r="AD43" s="297"/>
      <c r="AL43" s="40">
        <v>1628000</v>
      </c>
      <c r="AM43" s="40">
        <f>ROUNDDOWN(L11/4,-3)*4*0.6</f>
        <v>0</v>
      </c>
      <c r="AN43" s="39"/>
      <c r="AO43" s="39"/>
      <c r="AP43" s="39"/>
      <c r="AQ43" s="39"/>
      <c r="AR43" s="39"/>
      <c r="AS43" s="39"/>
    </row>
    <row r="44" spans="2:48" ht="15" customHeight="1" thickTop="1" thickBot="1" x14ac:dyDescent="0.2"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L44" s="40">
        <v>1800000</v>
      </c>
      <c r="AM44" s="40">
        <f>ROUNDDOWN(L11/4,-3)*4*0.7-180000</f>
        <v>-180000</v>
      </c>
      <c r="AN44" s="39"/>
      <c r="AO44" s="39"/>
      <c r="AP44" s="39"/>
      <c r="AQ44" s="39"/>
      <c r="AR44" s="39"/>
      <c r="AS44" s="39"/>
    </row>
    <row r="45" spans="2:48" ht="15" customHeight="1" thickTop="1" thickBot="1" x14ac:dyDescent="0.2">
      <c r="B45" s="298" t="s">
        <v>121</v>
      </c>
      <c r="C45" s="298"/>
      <c r="D45" s="298"/>
      <c r="E45" s="298"/>
      <c r="F45" s="298"/>
      <c r="G45" s="298"/>
      <c r="H45" s="298"/>
      <c r="I45" s="298"/>
      <c r="J45" s="298"/>
      <c r="K45" s="298"/>
      <c r="M45" s="319">
        <f>ROUNDDOWN(AR56,-2)</f>
        <v>0</v>
      </c>
      <c r="N45" s="320"/>
      <c r="O45" s="320"/>
      <c r="P45" s="320"/>
      <c r="Q45" s="321"/>
      <c r="R45" s="39"/>
      <c r="S45" s="319">
        <f>ROUNDDOWN(AR56-M39*0.06-MIN(M39*(0.9-AP59)*0.6,AR56*0.1),-2)</f>
        <v>0</v>
      </c>
      <c r="T45" s="320"/>
      <c r="U45" s="320"/>
      <c r="V45" s="320"/>
      <c r="W45" s="321"/>
      <c r="X45" s="39"/>
      <c r="Y45" s="39"/>
      <c r="Z45" s="295">
        <f>M45-S45</f>
        <v>0</v>
      </c>
      <c r="AA45" s="296"/>
      <c r="AB45" s="296"/>
      <c r="AC45" s="296"/>
      <c r="AD45" s="297"/>
      <c r="AL45" s="40">
        <v>3600000</v>
      </c>
      <c r="AM45" s="40">
        <f>ROUNDDOWN(L11/4,-3)*4*0.8-540000</f>
        <v>-540000</v>
      </c>
      <c r="AN45" s="39"/>
      <c r="AO45" s="39"/>
      <c r="AP45" s="39"/>
      <c r="AQ45" s="39"/>
      <c r="AR45" s="39"/>
      <c r="AS45" s="39"/>
    </row>
    <row r="46" spans="2:48" ht="15" customHeight="1" thickTop="1" thickBot="1" x14ac:dyDescent="0.2"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L46" s="40">
        <v>6600000</v>
      </c>
      <c r="AM46" s="40">
        <f>INT(L11*0.9)-1200000</f>
        <v>-1200000</v>
      </c>
      <c r="AN46" s="39"/>
      <c r="AO46" s="39"/>
      <c r="AP46" s="39"/>
      <c r="AQ46" s="39"/>
      <c r="AR46" s="39"/>
      <c r="AS46" s="39"/>
    </row>
    <row r="47" spans="2:48" ht="15" customHeight="1" thickTop="1" thickBot="1" x14ac:dyDescent="0.2">
      <c r="B47" s="298" t="s">
        <v>122</v>
      </c>
      <c r="C47" s="298"/>
      <c r="D47" s="298"/>
      <c r="E47" s="298"/>
      <c r="F47" s="298"/>
      <c r="G47" s="298"/>
      <c r="H47" s="298"/>
      <c r="I47" s="298"/>
      <c r="J47" s="298"/>
      <c r="K47" s="298"/>
      <c r="M47" s="319">
        <f>ROUNDDOWN(AS56,-2)</f>
        <v>0</v>
      </c>
      <c r="N47" s="320"/>
      <c r="O47" s="320"/>
      <c r="P47" s="320"/>
      <c r="Q47" s="321"/>
      <c r="R47" s="39"/>
      <c r="S47" s="319">
        <f>ROUNDDOWN(AS56-M39*0.04-MIN(M39*(0.9-AP59)*0.4,AS56*0.1),-2)</f>
        <v>0</v>
      </c>
      <c r="T47" s="320"/>
      <c r="U47" s="320"/>
      <c r="V47" s="320"/>
      <c r="W47" s="321"/>
      <c r="X47" s="39"/>
      <c r="Y47" s="39"/>
      <c r="Z47" s="295">
        <f>M47-S47</f>
        <v>0</v>
      </c>
      <c r="AA47" s="296"/>
      <c r="AB47" s="296"/>
      <c r="AC47" s="296"/>
      <c r="AD47" s="297"/>
      <c r="AK47" s="19"/>
      <c r="AL47" s="40">
        <v>10000000</v>
      </c>
      <c r="AM47" s="40">
        <f>INT(L11*0.95)-1700000</f>
        <v>-1700000</v>
      </c>
      <c r="AN47" s="39"/>
      <c r="AO47" s="39"/>
      <c r="AP47" s="39"/>
      <c r="AQ47" s="39"/>
      <c r="AR47" s="39"/>
      <c r="AS47" s="39"/>
    </row>
    <row r="48" spans="2:48" s="38" customFormat="1" ht="15" customHeight="1" thickTop="1" thickBot="1" x14ac:dyDescent="0.2"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K48" s="19"/>
      <c r="AL48" s="40">
        <v>15000000</v>
      </c>
      <c r="AM48" s="41">
        <f>L11-2450000</f>
        <v>-2450000</v>
      </c>
      <c r="AN48" s="39"/>
      <c r="AO48" s="39"/>
      <c r="AP48" s="39"/>
      <c r="AQ48" s="39"/>
      <c r="AR48" s="39"/>
      <c r="AS48" s="39"/>
    </row>
    <row r="49" spans="13:45" ht="15.75" thickTop="1" thickBot="1" x14ac:dyDescent="0.2"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53" t="s">
        <v>119</v>
      </c>
      <c r="Y49" s="39"/>
      <c r="Z49" s="295">
        <f>Z43+Z45+Z47</f>
        <v>0</v>
      </c>
      <c r="AA49" s="296"/>
      <c r="AB49" s="296"/>
      <c r="AC49" s="296"/>
      <c r="AD49" s="297"/>
      <c r="AL49" s="39"/>
      <c r="AM49" s="39"/>
      <c r="AN49" s="39"/>
      <c r="AO49" s="39"/>
      <c r="AP49" s="39"/>
      <c r="AQ49" s="39"/>
      <c r="AR49" s="39"/>
      <c r="AS49" s="39" t="s">
        <v>85</v>
      </c>
    </row>
    <row r="50" spans="13:45" ht="12.75" thickTop="1" x14ac:dyDescent="0.15">
      <c r="AL50" s="39" t="s">
        <v>86</v>
      </c>
      <c r="AM50" s="39" t="s">
        <v>87</v>
      </c>
      <c r="AN50" s="39" t="s">
        <v>32</v>
      </c>
      <c r="AO50" s="39" t="s">
        <v>4</v>
      </c>
      <c r="AP50" s="39" t="s">
        <v>9</v>
      </c>
      <c r="AQ50" s="39" t="s">
        <v>88</v>
      </c>
      <c r="AR50" s="39" t="s">
        <v>89</v>
      </c>
      <c r="AS50" s="39"/>
    </row>
    <row r="51" spans="13:45" x14ac:dyDescent="0.15">
      <c r="AL51" s="42">
        <f>IF(B17="*",380000,0)+IF(J17="*",100000,0)</f>
        <v>0</v>
      </c>
      <c r="AM51" s="42">
        <f>K17</f>
        <v>0</v>
      </c>
      <c r="AN51" s="42">
        <f>N17*630000</f>
        <v>0</v>
      </c>
      <c r="AO51" s="42">
        <f>P17*100000+Q17*480000</f>
        <v>0</v>
      </c>
      <c r="AP51" s="42">
        <f>S17*380000</f>
        <v>0</v>
      </c>
      <c r="AQ51" s="42">
        <f>U17*750000+V17*400000+W17*270000</f>
        <v>0</v>
      </c>
      <c r="AR51" s="42">
        <f>IF(M25="*",400000,0)+IF(N25="*",270000,0)+IF(O25="*",270000,0)+IF(P25="*",350000,0)+IF(Q25="*",270000,0)+IF(R25="*",270000)+IF(L25="*",0,380000)</f>
        <v>380000</v>
      </c>
      <c r="AS51" s="42">
        <f>SUM(AL51:AR51)</f>
        <v>380000</v>
      </c>
    </row>
    <row r="52" spans="13:45" x14ac:dyDescent="0.15">
      <c r="AL52" s="42">
        <f>IF(B17="*",330000,0)+IF(J17="*",50000,0)</f>
        <v>0</v>
      </c>
      <c r="AM52" s="42">
        <f>IF(AA19&gt;380000,VLOOKUP(AA19,AL66:AN75,3,TRUE),0)</f>
        <v>0</v>
      </c>
      <c r="AN52" s="42">
        <f>N17*450000</f>
        <v>0</v>
      </c>
      <c r="AO52" s="42">
        <f>P17*70000+Q17*380000</f>
        <v>0</v>
      </c>
      <c r="AP52" s="42">
        <f>S17*330000</f>
        <v>0</v>
      </c>
      <c r="AQ52" s="42">
        <f>U17*530000+V17*300000+W17*260000</f>
        <v>0</v>
      </c>
      <c r="AR52" s="42">
        <f>IF(M25="*",300000,0)+IF(N25="*",260000,0)+IF(O25="*",260000,0)+IF(P25="*",300000,0)+IF(Q25="*",260000,0)+IF(R25="*",260000)+IF(L25="*",0,330000)</f>
        <v>330000</v>
      </c>
      <c r="AS52" s="42">
        <f>SUM(AL52:AR52)</f>
        <v>330000</v>
      </c>
    </row>
    <row r="53" spans="13:45" x14ac:dyDescent="0.15">
      <c r="AL53" s="39"/>
      <c r="AM53" s="39"/>
      <c r="AN53" s="39"/>
      <c r="AO53" s="39"/>
      <c r="AP53" s="39"/>
      <c r="AQ53" s="39"/>
      <c r="AR53" s="39" t="s">
        <v>90</v>
      </c>
      <c r="AS53" s="42">
        <f>AS51-AS52</f>
        <v>50000</v>
      </c>
    </row>
    <row r="54" spans="13:45" x14ac:dyDescent="0.15">
      <c r="AL54" s="39"/>
      <c r="AM54" s="39"/>
      <c r="AN54" s="39"/>
      <c r="AO54" s="39"/>
      <c r="AP54" s="39"/>
      <c r="AQ54" s="39"/>
      <c r="AR54" s="39"/>
      <c r="AS54" s="42"/>
    </row>
    <row r="55" spans="13:45" x14ac:dyDescent="0.15">
      <c r="AL55" s="39" t="s">
        <v>91</v>
      </c>
      <c r="AM55" s="39" t="s">
        <v>92</v>
      </c>
      <c r="AN55" s="39" t="s">
        <v>93</v>
      </c>
      <c r="AO55" s="39" t="s">
        <v>94</v>
      </c>
      <c r="AP55" s="39" t="s">
        <v>95</v>
      </c>
      <c r="AQ55" s="39" t="s">
        <v>96</v>
      </c>
      <c r="AR55" s="39" t="s">
        <v>97</v>
      </c>
      <c r="AS55" s="39" t="s">
        <v>98</v>
      </c>
    </row>
    <row r="56" spans="13:45" x14ac:dyDescent="0.15">
      <c r="AL56" s="42">
        <f>ROUNDDOWN(MAX(R11-X11,0),-3)</f>
        <v>0</v>
      </c>
      <c r="AM56" s="43">
        <f>AL56*VLOOKUP(AL56,AL58:AM63,2,TRUE)-VLOOKUP(AL56,AL58:AN63,3,TRUE)</f>
        <v>0</v>
      </c>
      <c r="AN56" s="44">
        <f>ROUNDDOWN(MAX(R11-X11-MAX(M35-2000,0),0),-3)</f>
        <v>0</v>
      </c>
      <c r="AO56" s="44">
        <f>IF(AN56&gt;0,AN56*VLOOKUP(AN56,AL58:AM63,2,TRUE)-VLOOKUP(AN56,AL58:AN63,3,TRUE),0)</f>
        <v>0</v>
      </c>
      <c r="AP56" s="44">
        <f>AS52+X17+MIN(MAX(MIN(AN78+AN84,28000),AN78)+MAX(MIN(AQ78+AQ84,28000),AQ78)+AT84,70000)+MIN(AN81+AP81,25000)</f>
        <v>330000</v>
      </c>
      <c r="AQ56" s="44">
        <f>MAX(ROUNDDOWN(R11-AP56,-3),0)</f>
        <v>0</v>
      </c>
      <c r="AR56" s="44">
        <f>AQ56*0.06-IF(AQ56&lt;AS53,AQ56,IF(AQ56&gt;2000000,MAX(2000000+AS53-AQ56,50000),AS53))*0.03</f>
        <v>0</v>
      </c>
      <c r="AS56" s="44">
        <f>AQ56*0.04-IF(AQ56&lt;AS53,AQ56,IF(AQ56&gt;2000000,MAX(2000000+AS53-AQ56,50000),AS53))*0.02</f>
        <v>0</v>
      </c>
    </row>
    <row r="57" spans="13:45" x14ac:dyDescent="0.15">
      <c r="AL57" s="39"/>
      <c r="AM57" s="39"/>
      <c r="AN57" s="39"/>
      <c r="AO57" s="39"/>
      <c r="AP57" s="39"/>
      <c r="AQ57" s="39"/>
      <c r="AR57" s="39"/>
      <c r="AS57" s="39"/>
    </row>
    <row r="58" spans="13:45" x14ac:dyDescent="0.15">
      <c r="AL58" s="43">
        <v>0</v>
      </c>
      <c r="AM58" s="43">
        <v>0.05</v>
      </c>
      <c r="AN58" s="43">
        <v>0</v>
      </c>
      <c r="AO58" s="39"/>
      <c r="AP58" s="39" t="s">
        <v>99</v>
      </c>
      <c r="AQ58" s="39"/>
      <c r="AR58" s="39"/>
      <c r="AS58" s="39"/>
    </row>
    <row r="59" spans="13:45" x14ac:dyDescent="0.15">
      <c r="AL59" s="43">
        <v>1950000</v>
      </c>
      <c r="AM59" s="43">
        <v>0.1</v>
      </c>
      <c r="AN59" s="43">
        <v>97500</v>
      </c>
      <c r="AO59" s="39"/>
      <c r="AP59" s="39">
        <f>IF(AQ56-AS53&gt;0,VLOOKUP(AQ56-AS53,AL58:AM63,2,TRUE),0)*1.021</f>
        <v>0</v>
      </c>
      <c r="AQ59" s="39"/>
      <c r="AR59" s="39"/>
      <c r="AS59" s="39"/>
    </row>
    <row r="60" spans="13:45" x14ac:dyDescent="0.15">
      <c r="AL60" s="43">
        <v>3300000</v>
      </c>
      <c r="AM60" s="43">
        <v>0.2</v>
      </c>
      <c r="AN60" s="43">
        <v>427500</v>
      </c>
      <c r="AO60" s="39"/>
      <c r="AP60" s="39"/>
      <c r="AQ60" s="39"/>
      <c r="AR60" s="39"/>
      <c r="AS60" s="39"/>
    </row>
    <row r="61" spans="13:45" x14ac:dyDescent="0.15">
      <c r="AL61" s="43">
        <v>6950000</v>
      </c>
      <c r="AM61" s="43">
        <v>0.23</v>
      </c>
      <c r="AN61" s="43">
        <v>636000</v>
      </c>
      <c r="AO61" s="39"/>
      <c r="AP61" s="39"/>
      <c r="AQ61" s="39"/>
      <c r="AR61" s="39"/>
      <c r="AS61" s="39"/>
    </row>
    <row r="62" spans="13:45" x14ac:dyDescent="0.15">
      <c r="AL62" s="43">
        <v>9000000</v>
      </c>
      <c r="AM62" s="43">
        <v>0.33</v>
      </c>
      <c r="AN62" s="43">
        <v>1536000</v>
      </c>
      <c r="AO62" s="39"/>
      <c r="AP62" s="39"/>
      <c r="AQ62" s="39"/>
      <c r="AR62" s="39"/>
      <c r="AS62" s="39"/>
    </row>
    <row r="63" spans="13:45" x14ac:dyDescent="0.15">
      <c r="AL63" s="43">
        <v>18000000</v>
      </c>
      <c r="AM63" s="43">
        <v>0.4</v>
      </c>
      <c r="AN63" s="43">
        <v>2796000</v>
      </c>
      <c r="AO63" s="39"/>
      <c r="AP63" s="39"/>
      <c r="AQ63" s="39"/>
      <c r="AR63" s="39"/>
      <c r="AS63" s="39"/>
    </row>
    <row r="64" spans="13:45" x14ac:dyDescent="0.15">
      <c r="AL64" s="39"/>
      <c r="AM64" s="39"/>
      <c r="AN64" s="39"/>
      <c r="AO64" s="39"/>
      <c r="AP64" s="39"/>
      <c r="AQ64" s="39"/>
      <c r="AR64" s="39"/>
      <c r="AS64" s="39"/>
    </row>
    <row r="65" spans="38:45" x14ac:dyDescent="0.15">
      <c r="AL65" s="39" t="s">
        <v>100</v>
      </c>
      <c r="AM65" s="39"/>
      <c r="AN65" s="39"/>
      <c r="AO65" s="39"/>
      <c r="AP65" s="39"/>
      <c r="AQ65" s="39"/>
      <c r="AR65" s="39"/>
      <c r="AS65" s="39"/>
    </row>
    <row r="66" spans="38:45" x14ac:dyDescent="0.15">
      <c r="AL66" s="43">
        <v>380001</v>
      </c>
      <c r="AM66" s="43">
        <v>380000</v>
      </c>
      <c r="AN66" s="43">
        <v>330000</v>
      </c>
      <c r="AO66" s="39"/>
      <c r="AP66" s="39"/>
      <c r="AQ66" s="39"/>
      <c r="AR66" s="39"/>
      <c r="AS66" s="39"/>
    </row>
    <row r="67" spans="38:45" x14ac:dyDescent="0.15">
      <c r="AL67" s="43">
        <v>400001</v>
      </c>
      <c r="AM67" s="43">
        <v>360000</v>
      </c>
      <c r="AN67" s="43">
        <v>330000</v>
      </c>
      <c r="AO67" s="39"/>
      <c r="AP67" s="39"/>
      <c r="AQ67" s="39"/>
      <c r="AR67" s="39"/>
      <c r="AS67" s="39"/>
    </row>
    <row r="68" spans="38:45" x14ac:dyDescent="0.15">
      <c r="AL68" s="43">
        <v>450001</v>
      </c>
      <c r="AM68" s="43">
        <v>310000</v>
      </c>
      <c r="AN68" s="43">
        <v>310000</v>
      </c>
      <c r="AO68" s="39"/>
      <c r="AP68" s="39"/>
      <c r="AQ68" s="39"/>
      <c r="AR68" s="39"/>
      <c r="AS68" s="39"/>
    </row>
    <row r="69" spans="38:45" x14ac:dyDescent="0.15">
      <c r="AL69" s="43">
        <v>500001</v>
      </c>
      <c r="AM69" s="43">
        <v>260000</v>
      </c>
      <c r="AN69" s="43">
        <v>260000</v>
      </c>
      <c r="AO69" s="39"/>
      <c r="AP69" s="39"/>
      <c r="AQ69" s="39"/>
      <c r="AR69" s="39"/>
      <c r="AS69" s="39"/>
    </row>
    <row r="70" spans="38:45" x14ac:dyDescent="0.15">
      <c r="AL70" s="43">
        <v>550001</v>
      </c>
      <c r="AM70" s="43">
        <v>210000</v>
      </c>
      <c r="AN70" s="43">
        <v>210000</v>
      </c>
      <c r="AO70" s="39"/>
      <c r="AP70" s="39"/>
      <c r="AQ70" s="39"/>
      <c r="AR70" s="39"/>
      <c r="AS70" s="39"/>
    </row>
    <row r="71" spans="38:45" x14ac:dyDescent="0.15">
      <c r="AL71" s="43">
        <v>600001</v>
      </c>
      <c r="AM71" s="43">
        <v>160000</v>
      </c>
      <c r="AN71" s="43">
        <v>160000</v>
      </c>
      <c r="AO71" s="39"/>
      <c r="AP71" s="39"/>
      <c r="AQ71" s="39"/>
      <c r="AR71" s="39"/>
      <c r="AS71" s="39"/>
    </row>
    <row r="72" spans="38:45" x14ac:dyDescent="0.15">
      <c r="AL72" s="43">
        <v>650001</v>
      </c>
      <c r="AM72" s="43">
        <v>110000</v>
      </c>
      <c r="AN72" s="43">
        <v>110000</v>
      </c>
      <c r="AO72" s="39"/>
      <c r="AP72" s="39"/>
      <c r="AQ72" s="39"/>
      <c r="AR72" s="39"/>
      <c r="AS72" s="39"/>
    </row>
    <row r="73" spans="38:45" x14ac:dyDescent="0.15">
      <c r="AL73" s="43">
        <v>700001</v>
      </c>
      <c r="AM73" s="43">
        <v>60000</v>
      </c>
      <c r="AN73" s="43">
        <v>60000</v>
      </c>
      <c r="AO73" s="39"/>
      <c r="AP73" s="39"/>
      <c r="AQ73" s="39"/>
      <c r="AR73" s="39"/>
      <c r="AS73" s="39"/>
    </row>
    <row r="74" spans="38:45" x14ac:dyDescent="0.15">
      <c r="AL74" s="43">
        <v>750001</v>
      </c>
      <c r="AM74" s="43">
        <v>30000</v>
      </c>
      <c r="AN74" s="43">
        <v>30000</v>
      </c>
      <c r="AO74" s="39"/>
      <c r="AP74" s="39"/>
      <c r="AQ74" s="39"/>
      <c r="AR74" s="39"/>
      <c r="AS74" s="39"/>
    </row>
    <row r="75" spans="38:45" x14ac:dyDescent="0.15">
      <c r="AL75" s="43">
        <v>760000</v>
      </c>
      <c r="AM75" s="43">
        <v>0</v>
      </c>
      <c r="AN75" s="43">
        <v>0</v>
      </c>
      <c r="AO75" s="39"/>
      <c r="AP75" s="39"/>
      <c r="AQ75" s="39"/>
      <c r="AR75" s="39"/>
      <c r="AS75" s="39"/>
    </row>
    <row r="76" spans="38:45" x14ac:dyDescent="0.15">
      <c r="AL76" s="45"/>
      <c r="AM76" s="45"/>
      <c r="AN76" s="39"/>
      <c r="AO76" s="39"/>
      <c r="AP76" s="39"/>
      <c r="AQ76" s="39"/>
      <c r="AR76" s="39"/>
      <c r="AS76" s="39"/>
    </row>
    <row r="77" spans="38:45" x14ac:dyDescent="0.15">
      <c r="AL77" s="39" t="s">
        <v>101</v>
      </c>
      <c r="AM77" s="45" t="s">
        <v>102</v>
      </c>
      <c r="AN77" s="39" t="s">
        <v>103</v>
      </c>
      <c r="AO77" s="39" t="s">
        <v>104</v>
      </c>
      <c r="AP77" s="39" t="s">
        <v>105</v>
      </c>
      <c r="AQ77" s="39" t="s">
        <v>106</v>
      </c>
      <c r="AR77" s="39"/>
      <c r="AS77" s="39"/>
    </row>
    <row r="78" spans="38:45" x14ac:dyDescent="0.15">
      <c r="AL78" s="42">
        <f>AG20</f>
        <v>0</v>
      </c>
      <c r="AM78" s="40">
        <f>ROUNDUP((MIN(AL78,25000)+MAX(0,MIN(AL78-25000,25000))*0.5+MAX(0,MIN(AL78-50000,50000))*0.25),0)</f>
        <v>0</v>
      </c>
      <c r="AN78" s="40">
        <f>ROUNDUP((MIN(AL78,15000)+MAX(0,MIN(AL78-15000,25000))*0.5+MAX(0,MIN(AL78-40000,30000))*0.25),0)</f>
        <v>0</v>
      </c>
      <c r="AO78" s="46">
        <f>AA21</f>
        <v>0</v>
      </c>
      <c r="AP78" s="40">
        <f>ROUNDUP((MIN(AO78,25000)+MAX(0,MIN(AO78-25000,25000))*0.5+MAX(0,MIN(AO78-50000,50000))*0.25),0)</f>
        <v>0</v>
      </c>
      <c r="AQ78" s="40">
        <f>ROUNDUP((MIN(AO78,15000)+MAX(0,MIN(AO78-15000,25000))*0.5+MAX(0,MIN(AO78-40000,30000))*0.25),0)</f>
        <v>0</v>
      </c>
      <c r="AR78" s="39"/>
      <c r="AS78" s="39"/>
    </row>
    <row r="79" spans="38:45" x14ac:dyDescent="0.15">
      <c r="AL79" s="39"/>
      <c r="AM79" s="45"/>
      <c r="AN79" s="39"/>
      <c r="AO79" s="39"/>
      <c r="AP79" s="39"/>
      <c r="AQ79" s="39"/>
      <c r="AR79" s="39"/>
      <c r="AS79" s="39"/>
    </row>
    <row r="80" spans="38:45" x14ac:dyDescent="0.15">
      <c r="AL80" s="39" t="s">
        <v>107</v>
      </c>
      <c r="AM80" s="39" t="s">
        <v>108</v>
      </c>
      <c r="AN80" s="39" t="s">
        <v>109</v>
      </c>
      <c r="AO80" s="39" t="s">
        <v>110</v>
      </c>
      <c r="AP80" s="39" t="s">
        <v>111</v>
      </c>
      <c r="AQ80" s="39"/>
      <c r="AR80" s="39"/>
      <c r="AS80" s="39"/>
    </row>
    <row r="81" spans="38:46" x14ac:dyDescent="0.15">
      <c r="AL81" s="42">
        <f>AG21</f>
        <v>0</v>
      </c>
      <c r="AM81" s="43">
        <f>ROUNDUP((MIN(AL81,10000)+MAX(0,MIN(AL81-10000,10000))*0.5),0)</f>
        <v>0</v>
      </c>
      <c r="AN81" s="43">
        <f>ROUNDUP((MIN(AL81,5000)+MAX(0,MIN(AL81-5000,10000))*0.5),0)</f>
        <v>0</v>
      </c>
      <c r="AO81" s="41">
        <f>AD17-AM81</f>
        <v>0</v>
      </c>
      <c r="AP81" s="40">
        <f>ROUNDUP(AO81/2,0)</f>
        <v>0</v>
      </c>
      <c r="AQ81" s="39"/>
      <c r="AR81" s="39"/>
      <c r="AS81" s="39"/>
    </row>
    <row r="83" spans="38:46" x14ac:dyDescent="0.15">
      <c r="AL83" s="47" t="s">
        <v>112</v>
      </c>
      <c r="AM83" s="48" t="s">
        <v>102</v>
      </c>
      <c r="AN83" s="47" t="s">
        <v>103</v>
      </c>
      <c r="AO83" s="47" t="s">
        <v>113</v>
      </c>
      <c r="AP83" s="47" t="s">
        <v>105</v>
      </c>
      <c r="AQ83" s="47" t="s">
        <v>106</v>
      </c>
      <c r="AR83" s="48" t="s">
        <v>114</v>
      </c>
      <c r="AS83" s="48" t="s">
        <v>114</v>
      </c>
      <c r="AT83" s="48" t="s">
        <v>115</v>
      </c>
    </row>
    <row r="84" spans="38:46" x14ac:dyDescent="0.15">
      <c r="AL84" s="49">
        <f>AG19</f>
        <v>0</v>
      </c>
      <c r="AM84" s="50">
        <f>ROUNDUP((MIN(AL84,20000)+MAX(0,MIN(AL84-20000,20000))*0.5+MAX(0,MIN(AL84-40000,40000))*0.25),0)</f>
        <v>0</v>
      </c>
      <c r="AN84" s="50">
        <f>ROUNDUP((MIN(AL84,12000)+MAX(0,MIN(AL84-12000,20000))*0.5+MAX(0,MIN(AL84-32000,24000))*0.25),0)</f>
        <v>0</v>
      </c>
      <c r="AO84" s="51">
        <f>AA20</f>
        <v>0</v>
      </c>
      <c r="AP84" s="50">
        <f>ROUNDUP((MIN(AO84,20000)+MAX(0,MIN(AO84-20000,20000))*0.5+MAX(0,MIN(AO84-40000,40000))*0.25),0)</f>
        <v>0</v>
      </c>
      <c r="AQ84" s="50">
        <f>ROUNDUP((MIN(AO84,12000)+MAX(0,MIN(AO84-12000,20000))*0.5+MAX(0,MIN(AO84-32000,24000))*0.25),0)</f>
        <v>0</v>
      </c>
      <c r="AR84" s="52">
        <f>AG18</f>
        <v>0</v>
      </c>
      <c r="AS84" s="50">
        <f>ROUNDUP((MIN(AR84,20000)+MAX(0,MIN(AR84-20000,20000))*0.5+MAX(0,MIN(AR84-40000,40000))*0.25),0)</f>
        <v>0</v>
      </c>
      <c r="AT84" s="50">
        <f>ROUNDUP((MIN(AR84,12000)+MAX(0,MIN(AR84-12000,20000))*0.5+MAX(0,MIN(AR84-32000,24000))*0.25),0)</f>
        <v>0</v>
      </c>
    </row>
  </sheetData>
  <sheetProtection password="DE70" sheet="1"/>
  <mergeCells count="170">
    <mergeCell ref="B1:AF1"/>
    <mergeCell ref="M43:Q43"/>
    <mergeCell ref="S43:W43"/>
    <mergeCell ref="Z43:AD43"/>
    <mergeCell ref="M45:Q45"/>
    <mergeCell ref="S45:W45"/>
    <mergeCell ref="Z45:AD45"/>
    <mergeCell ref="M47:Q47"/>
    <mergeCell ref="S47:W47"/>
    <mergeCell ref="Z47:AD47"/>
    <mergeCell ref="B13:I14"/>
    <mergeCell ref="J13:J14"/>
    <mergeCell ref="AF24:AG24"/>
    <mergeCell ref="Z22:AI23"/>
    <mergeCell ref="S22:Y23"/>
    <mergeCell ref="AH24:AI24"/>
    <mergeCell ref="AD21:AF21"/>
    <mergeCell ref="AA19:AC19"/>
    <mergeCell ref="AG17:AI17"/>
    <mergeCell ref="AD13:AF14"/>
    <mergeCell ref="AA13:AC14"/>
    <mergeCell ref="X13:Z14"/>
    <mergeCell ref="D15:E16"/>
    <mergeCell ref="AG18:AI18"/>
    <mergeCell ref="Z49:AD49"/>
    <mergeCell ref="B43:K43"/>
    <mergeCell ref="B45:K45"/>
    <mergeCell ref="B47:K47"/>
    <mergeCell ref="B32:N32"/>
    <mergeCell ref="AG12:AI12"/>
    <mergeCell ref="AG13:AI14"/>
    <mergeCell ref="N12:T12"/>
    <mergeCell ref="N13:T13"/>
    <mergeCell ref="U12:W12"/>
    <mergeCell ref="AD12:AF12"/>
    <mergeCell ref="AA12:AC12"/>
    <mergeCell ref="N14:O14"/>
    <mergeCell ref="P14:R14"/>
    <mergeCell ref="S14:T14"/>
    <mergeCell ref="U14:V14"/>
    <mergeCell ref="X12:Z12"/>
    <mergeCell ref="AC25:AC26"/>
    <mergeCell ref="O23:O24"/>
    <mergeCell ref="B26:D26"/>
    <mergeCell ref="N23:N24"/>
    <mergeCell ref="M22:N22"/>
    <mergeCell ref="AD24:AE24"/>
    <mergeCell ref="AA17:AC17"/>
    <mergeCell ref="AG19:AI19"/>
    <mergeCell ref="AG20:AI20"/>
    <mergeCell ref="AG21:AI21"/>
    <mergeCell ref="AD18:AF18"/>
    <mergeCell ref="B17:C17"/>
    <mergeCell ref="X17:Z17"/>
    <mergeCell ref="F17:G17"/>
    <mergeCell ref="R22:R24"/>
    <mergeCell ref="AD20:AF20"/>
    <mergeCell ref="AA20:AC20"/>
    <mergeCell ref="AA21:AC21"/>
    <mergeCell ref="X19:Z19"/>
    <mergeCell ref="X20:Z20"/>
    <mergeCell ref="X21:Z21"/>
    <mergeCell ref="I18:AC18"/>
    <mergeCell ref="B19:W19"/>
    <mergeCell ref="AD19:AF19"/>
    <mergeCell ref="AD17:AF17"/>
    <mergeCell ref="P23:P24"/>
    <mergeCell ref="AD9:AI9"/>
    <mergeCell ref="X9:AC9"/>
    <mergeCell ref="A10:A22"/>
    <mergeCell ref="A3:A4"/>
    <mergeCell ref="M10:P10"/>
    <mergeCell ref="L9:Q9"/>
    <mergeCell ref="B22:B24"/>
    <mergeCell ref="S3:V3"/>
    <mergeCell ref="S4:V4"/>
    <mergeCell ref="B9:K9"/>
    <mergeCell ref="K17:M17"/>
    <mergeCell ref="B10:K11"/>
    <mergeCell ref="L11:Q11"/>
    <mergeCell ref="M23:M24"/>
    <mergeCell ref="Q22:Q24"/>
    <mergeCell ref="U13:W13"/>
    <mergeCell ref="R11:W11"/>
    <mergeCell ref="R9:W9"/>
    <mergeCell ref="R10:V10"/>
    <mergeCell ref="V24:W24"/>
    <mergeCell ref="B3:R3"/>
    <mergeCell ref="B4:R4"/>
    <mergeCell ref="W3:AD3"/>
    <mergeCell ref="W4:AD4"/>
    <mergeCell ref="G5:K5"/>
    <mergeCell ref="AE3:AI3"/>
    <mergeCell ref="AE4:AI4"/>
    <mergeCell ref="Y7:AI7"/>
    <mergeCell ref="Y6:AI6"/>
    <mergeCell ref="B5:F8"/>
    <mergeCell ref="L5:T5"/>
    <mergeCell ref="Z5:AI5"/>
    <mergeCell ref="V5:Y5"/>
    <mergeCell ref="Y8:AI8"/>
    <mergeCell ref="V6:X6"/>
    <mergeCell ref="V7:X7"/>
    <mergeCell ref="U5:U8"/>
    <mergeCell ref="Z25:Z26"/>
    <mergeCell ref="V25:W26"/>
    <mergeCell ref="L22:L24"/>
    <mergeCell ref="O22:P22"/>
    <mergeCell ref="D17:E17"/>
    <mergeCell ref="B15:C16"/>
    <mergeCell ref="M25:M26"/>
    <mergeCell ref="E25:F26"/>
    <mergeCell ref="G25:H26"/>
    <mergeCell ref="I25:J26"/>
    <mergeCell ref="K25:K26"/>
    <mergeCell ref="L25:L26"/>
    <mergeCell ref="B20:W20"/>
    <mergeCell ref="B21:W21"/>
    <mergeCell ref="X24:Y24"/>
    <mergeCell ref="X16:Z16"/>
    <mergeCell ref="H15:I16"/>
    <mergeCell ref="H17:I17"/>
    <mergeCell ref="AD25:AE26"/>
    <mergeCell ref="AF25:AG26"/>
    <mergeCell ref="AH25:AI26"/>
    <mergeCell ref="P25:P26"/>
    <mergeCell ref="O25:O26"/>
    <mergeCell ref="N25:N26"/>
    <mergeCell ref="G6:J8"/>
    <mergeCell ref="K22:K24"/>
    <mergeCell ref="K6:T8"/>
    <mergeCell ref="K12:M12"/>
    <mergeCell ref="K13:M14"/>
    <mergeCell ref="I22:J24"/>
    <mergeCell ref="G22:H24"/>
    <mergeCell ref="U25:U26"/>
    <mergeCell ref="B12:J12"/>
    <mergeCell ref="X10:AB10"/>
    <mergeCell ref="AD10:AH10"/>
    <mergeCell ref="AD11:AI11"/>
    <mergeCell ref="X11:AC11"/>
    <mergeCell ref="B18:G18"/>
    <mergeCell ref="F15:G16"/>
    <mergeCell ref="E22:F24"/>
    <mergeCell ref="C22:D22"/>
    <mergeCell ref="C23:D24"/>
    <mergeCell ref="M42:Q42"/>
    <mergeCell ref="S42:W42"/>
    <mergeCell ref="Z42:AD42"/>
    <mergeCell ref="B35:K35"/>
    <mergeCell ref="M35:R35"/>
    <mergeCell ref="B37:K37"/>
    <mergeCell ref="M37:R37"/>
    <mergeCell ref="M39:R39"/>
    <mergeCell ref="B25:D25"/>
    <mergeCell ref="R25:R26"/>
    <mergeCell ref="Q25:Q26"/>
    <mergeCell ref="F30:L30"/>
    <mergeCell ref="B27:E30"/>
    <mergeCell ref="M27:AI28"/>
    <mergeCell ref="M29:AI30"/>
    <mergeCell ref="B39:K39"/>
    <mergeCell ref="F27:L27"/>
    <mergeCell ref="F28:L28"/>
    <mergeCell ref="F29:L29"/>
    <mergeCell ref="X25:Y26"/>
    <mergeCell ref="S25:S26"/>
    <mergeCell ref="T25:T26"/>
    <mergeCell ref="AA25:AA26"/>
    <mergeCell ref="AB25:AB26"/>
  </mergeCells>
  <phoneticPr fontId="2"/>
  <dataValidations count="6">
    <dataValidation type="whole" imeMode="off" operator="lessThanOrEqual" allowBlank="1" showInputMessage="1" showErrorMessage="1" sqref="AG17:AI17">
      <formula1>500000</formula1>
    </dataValidation>
    <dataValidation imeMode="on" allowBlank="1" showInputMessage="1" showErrorMessage="1" sqref="B10:K11 Y6:AI6 Y8:AI8 K6 M27:AI27 M29:AI29"/>
    <dataValidation imeMode="off" allowBlank="1" showInputMessage="1" showErrorMessage="1" sqref="K17:AF17 L11:Q11"/>
    <dataValidation type="list" imeMode="off" operator="equal" allowBlank="1" showInputMessage="1" showErrorMessage="1" sqref="H17 F17 B17 D17 J17">
      <formula1>" ,*"</formula1>
    </dataValidation>
    <dataValidation imeMode="off" operator="equal" allowBlank="1" showInputMessage="1" showErrorMessage="1" sqref="B26"/>
    <dataValidation type="list" allowBlank="1" showInputMessage="1" showErrorMessage="1" sqref="E25:J26 L25:T26 Z25:AC26">
      <formula1>",*"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源泉徴収票２５</vt:lpstr>
      <vt:lpstr>源泉徴収票２５!Print_Area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2013-01-29T10:17:24Z</cp:lastPrinted>
  <dcterms:created xsi:type="dcterms:W3CDTF">2008-04-02T00:29:26Z</dcterms:created>
  <dcterms:modified xsi:type="dcterms:W3CDTF">2013-11-14T02:13:09Z</dcterms:modified>
</cp:coreProperties>
</file>